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9170" windowHeight="2400" activeTab="1"/>
  </bookViews>
  <sheets>
    <sheet name="About ..." sheetId="1" r:id="rId1"/>
    <sheet name="Control_Panel" sheetId="2" r:id="rId2"/>
    <sheet name="Data_File" sheetId="3" r:id="rId3"/>
    <sheet name="Reports" sheetId="4" r:id="rId4"/>
    <sheet name="Model" sheetId="5" r:id="rId5"/>
  </sheets>
  <externalReferences>
    <externalReference r:id="rId8"/>
    <externalReference r:id="rId9"/>
  </externalReferences>
  <definedNames>
    <definedName name="Actual" localSheetId="0">'[2]Data_File'!#REF!</definedName>
    <definedName name="Actual">'Data_File'!#REF!</definedName>
    <definedName name="_xlnm.Print_Area" localSheetId="0">'About ...'!$B$1:$L$164</definedName>
    <definedName name="_xlnm.Print_Area" localSheetId="1">'Control_Panel'!$B$2:$Q$28</definedName>
    <definedName name="_xlnm.Print_Area" localSheetId="2">'Data_File'!$B$2:$S$47</definedName>
    <definedName name="_xlnm.Print_Area" localSheetId="3">'Reports'!$A$1:$L$54</definedName>
    <definedName name="BIJ" localSheetId="0">'[1]J&amp;T'!$B$35:$Z$59</definedName>
    <definedName name="BIJ">'Model'!$B$105:$U$124</definedName>
    <definedName name="Delta" localSheetId="0">'[2]Data_File'!#REF!</definedName>
    <definedName name="Delta">'Data_File'!#REF!</definedName>
    <definedName name="Guess" localSheetId="0">'[2]Data_File'!#REF!</definedName>
    <definedName name="Guess">'Data_File'!#REF!</definedName>
    <definedName name="I" localSheetId="0">'[1]J&amp;T'!$A$66:$A$90</definedName>
    <definedName name="I">'Model'!$A$75:$A$94</definedName>
    <definedName name="J" localSheetId="0">'[1]J&amp;T'!$B$65:$Z$65</definedName>
    <definedName name="J">'Model'!$B$74:$U$74</definedName>
    <definedName name="SIE" localSheetId="0">'[1]J&amp;T'!$B$95:$Z$95</definedName>
    <definedName name="SIE">'Model'!$B$98:$U$98</definedName>
    <definedName name="solver_adj" localSheetId="1" hidden="1">'Control_Panel'!$E$10,'Control_Panel'!$E$13</definedName>
    <definedName name="solver_adj" localSheetId="2" hidden="1">'Control_Panel'!$E$10,'Control_Panel'!$E$11,'Control_Panel'!$E$13</definedName>
    <definedName name="solver_adj" localSheetId="3" hidden="1">'Reports'!$A$13:$C$13</definedName>
    <definedName name="solver_cvg" localSheetId="1" hidden="1">0.001</definedName>
    <definedName name="solver_cvg" localSheetId="2" hidden="1">0.001</definedName>
    <definedName name="solver_drv" localSheetId="1" hidden="1">1</definedName>
    <definedName name="solver_drv" localSheetId="2" hidden="1">1</definedName>
    <definedName name="solver_drv" localSheetId="3" hidden="1">1</definedName>
    <definedName name="solver_est" localSheetId="1" hidden="1">1</definedName>
    <definedName name="solver_est" localSheetId="2" hidden="1">1</definedName>
    <definedName name="solver_est" localSheetId="3" hidden="1">1</definedName>
    <definedName name="solver_itr" localSheetId="1" hidden="1">100</definedName>
    <definedName name="solver_itr" localSheetId="2" hidden="1">15</definedName>
    <definedName name="solver_itr" localSheetId="3" hidden="1">100</definedName>
    <definedName name="solver_lhs1" localSheetId="1" hidden="1">'Control_Panel'!$E$15</definedName>
    <definedName name="solver_lhs2" localSheetId="1" hidden="1">'Control_Panel'!$E$10</definedName>
    <definedName name="solver_lin" localSheetId="1" hidden="1">2</definedName>
    <definedName name="solver_lin" localSheetId="2" hidden="1">2</definedName>
    <definedName name="solver_lin" localSheetId="3" hidden="1">0</definedName>
    <definedName name="solver_neg" localSheetId="1" hidden="1">2</definedName>
    <definedName name="solver_neg" localSheetId="2" hidden="1">2</definedName>
    <definedName name="solver_num" localSheetId="1" hidden="1">0</definedName>
    <definedName name="solver_num" localSheetId="2" hidden="1">0</definedName>
    <definedName name="solver_num" localSheetId="3" hidden="1">0</definedName>
    <definedName name="solver_nwt" localSheetId="1" hidden="1">1</definedName>
    <definedName name="solver_nwt" localSheetId="2" hidden="1">1</definedName>
    <definedName name="solver_nwt" localSheetId="3" hidden="1">1</definedName>
    <definedName name="solver_opt" localSheetId="1" hidden="1">'Control_Panel'!$E$27</definedName>
    <definedName name="solver_opt" localSheetId="2" hidden="1">'Control_Panel'!$E$26</definedName>
    <definedName name="solver_opt" localSheetId="3" hidden="1">'Reports'!$E$29</definedName>
    <definedName name="solver_pre" localSheetId="1" hidden="1">0.000001</definedName>
    <definedName name="solver_pre" localSheetId="2" hidden="1">0.000001</definedName>
    <definedName name="solver_pre" localSheetId="3" hidden="1">0.000001</definedName>
    <definedName name="solver_rel1" localSheetId="1" hidden="1">3</definedName>
    <definedName name="solver_rel2" localSheetId="1" hidden="1">3</definedName>
    <definedName name="solver_rhs1" localSheetId="1" hidden="1">0</definedName>
    <definedName name="solver_rhs2" localSheetId="1" hidden="1">0</definedName>
    <definedName name="solver_scl" localSheetId="1" hidden="1">1</definedName>
    <definedName name="solver_scl" localSheetId="2" hidden="1">2</definedName>
    <definedName name="solver_scl" localSheetId="3" hidden="1">0</definedName>
    <definedName name="solver_sho" localSheetId="1" hidden="1">2</definedName>
    <definedName name="solver_sho" localSheetId="2" hidden="1">2</definedName>
    <definedName name="solver_sho" localSheetId="3" hidden="1">0</definedName>
    <definedName name="solver_tim" localSheetId="1" hidden="1">200</definedName>
    <definedName name="solver_tim" localSheetId="2" hidden="1">300</definedName>
    <definedName name="solver_tim" localSheetId="3" hidden="1">100</definedName>
    <definedName name="solver_tol" localSheetId="1" hidden="1">0.05</definedName>
    <definedName name="solver_tol" localSheetId="2" hidden="1">0.05</definedName>
    <definedName name="solver_tol" localSheetId="3" hidden="1">0.05</definedName>
    <definedName name="solver_typ" localSheetId="1" hidden="1">2</definedName>
    <definedName name="solver_typ" localSheetId="2" hidden="1">2</definedName>
    <definedName name="solver_typ" localSheetId="3" hidden="1">2</definedName>
    <definedName name="solver_val" localSheetId="1" hidden="1">0</definedName>
    <definedName name="solver_val" localSheetId="2" hidden="1">0</definedName>
    <definedName name="solver_val" localSheetId="3" hidden="1">0</definedName>
    <definedName name="TIJ" localSheetId="0">'[1]J&amp;T'!$B$66:$Z$90</definedName>
    <definedName name="TIJ">'Model'!$B$75:$U$94</definedName>
    <definedName name="TIJINV" localSheetId="0">'[1]J&amp;T'!$B$100:$U$119</definedName>
    <definedName name="TIJINV">'Model'!$B$135:$U$154</definedName>
  </definedNames>
  <calcPr fullCalcOnLoad="1"/>
</workbook>
</file>

<file path=xl/comments2.xml><?xml version="1.0" encoding="utf-8"?>
<comments xmlns="http://schemas.openxmlformats.org/spreadsheetml/2006/main">
  <authors>
    <author>Jaime E. Sep?lveda J.</author>
  </authors>
  <commentList>
    <comment ref="E27"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E10:E24</t>
        </r>
        <r>
          <rPr>
            <sz val="8"/>
            <rFont val="Tahoma"/>
            <family val="2"/>
          </rPr>
          <t>.</t>
        </r>
      </text>
    </comment>
  </commentList>
</comments>
</file>

<file path=xl/comments3.xml><?xml version="1.0" encoding="utf-8"?>
<comments xmlns="http://schemas.openxmlformats.org/spreadsheetml/2006/main">
  <authors>
    <author>jsepulveda</author>
    <author>Jaime E. Sep?lveda J.</author>
  </authors>
  <commentList>
    <comment ref="Q25" authorId="0">
      <text>
        <r>
          <rPr>
            <sz val="8"/>
            <rFont val="Tahoma"/>
            <family val="2"/>
          </rPr>
          <t xml:space="preserve">User defined </t>
        </r>
        <r>
          <rPr>
            <b/>
            <sz val="8"/>
            <rFont val="Tahoma"/>
            <family val="2"/>
          </rPr>
          <t>Weighting Factor</t>
        </r>
        <r>
          <rPr>
            <sz val="8"/>
            <rFont val="Tahoma"/>
            <family val="2"/>
          </rPr>
          <t xml:space="preserve">, included to represent the relative quality and reliability of this particular measurement with respect to the rest of the available data.
At the extreme, a value equal to </t>
        </r>
        <r>
          <rPr>
            <u val="single"/>
            <sz val="8"/>
            <rFont val="Tahoma"/>
            <family val="2"/>
          </rPr>
          <t>zero</t>
        </r>
        <r>
          <rPr>
            <sz val="8"/>
            <rFont val="Tahoma"/>
            <family val="2"/>
          </rPr>
          <t xml:space="preserve"> means that this measurement is not included in the </t>
        </r>
        <r>
          <rPr>
            <b/>
            <sz val="8"/>
            <rFont val="Tahoma"/>
            <family val="2"/>
          </rPr>
          <t>Objective Function</t>
        </r>
        <r>
          <rPr>
            <sz val="8"/>
            <rFont val="Tahoma"/>
            <family val="2"/>
          </rPr>
          <t xml:space="preserve"> calculation.</t>
        </r>
      </text>
    </comment>
    <comment ref="K11" authorId="0">
      <text>
        <r>
          <rPr>
            <b/>
            <sz val="8"/>
            <rFont val="Tahoma"/>
            <family val="0"/>
          </rPr>
          <t>Net Mill Power Draw</t>
        </r>
        <r>
          <rPr>
            <sz val="8"/>
            <rFont val="Tahoma"/>
            <family val="2"/>
          </rPr>
          <t xml:space="preserve">.
See </t>
        </r>
        <r>
          <rPr>
            <b/>
            <sz val="8"/>
            <rFont val="Tahoma"/>
            <family val="0"/>
          </rPr>
          <t>About ...</t>
        </r>
        <r>
          <rPr>
            <sz val="8"/>
            <rFont val="Tahoma"/>
            <family val="2"/>
          </rPr>
          <t xml:space="preserve"> in the </t>
        </r>
        <r>
          <rPr>
            <b/>
            <sz val="8"/>
            <rFont val="Tahoma"/>
            <family val="0"/>
          </rPr>
          <t>Mill Power_Ball Mills</t>
        </r>
        <r>
          <rPr>
            <sz val="8"/>
            <rFont val="Tahoma"/>
            <family val="2"/>
          </rPr>
          <t xml:space="preserve"> spreadsheet.</t>
        </r>
      </text>
    </comment>
    <comment ref="H24"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J24"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K8"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K11)</t>
        </r>
        <r>
          <rPr>
            <sz val="8"/>
            <rFont val="Tahoma"/>
            <family val="2"/>
          </rPr>
          <t xml:space="preserve"> contributed by the </t>
        </r>
        <r>
          <rPr>
            <b/>
            <sz val="8"/>
            <rFont val="Tahoma"/>
            <family val="2"/>
          </rPr>
          <t>Ball Charge</t>
        </r>
        <r>
          <rPr>
            <sz val="8"/>
            <rFont val="Tahoma"/>
            <family val="2"/>
          </rPr>
          <t>.</t>
        </r>
      </text>
    </comment>
    <comment ref="K9"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K11)</t>
        </r>
        <r>
          <rPr>
            <sz val="8"/>
            <rFont val="Tahoma"/>
            <family val="2"/>
          </rPr>
          <t xml:space="preserve"> contributed by the </t>
        </r>
        <r>
          <rPr>
            <b/>
            <sz val="8"/>
            <rFont val="Tahoma"/>
            <family val="2"/>
          </rPr>
          <t>Overfilling Slurry</t>
        </r>
        <r>
          <rPr>
            <sz val="8"/>
            <rFont val="Tahoma"/>
            <family val="2"/>
          </rPr>
          <t xml:space="preserve"> on top of the "kidney".</t>
        </r>
      </text>
    </comment>
    <comment ref="K10"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K11)</t>
        </r>
        <r>
          <rPr>
            <sz val="8"/>
            <rFont val="Tahoma"/>
            <family val="2"/>
          </rPr>
          <t xml:space="preserve"> contributed by the </t>
        </r>
        <r>
          <rPr>
            <b/>
            <sz val="8"/>
            <rFont val="Tahoma"/>
            <family val="2"/>
          </rPr>
          <t>Interstitial Slurry</t>
        </r>
        <r>
          <rPr>
            <sz val="8"/>
            <rFont val="Tahoma"/>
            <family val="2"/>
          </rPr>
          <t xml:space="preserve"> in the ball charge.</t>
        </r>
      </text>
    </comment>
    <comment ref="K18" authorId="1">
      <text>
        <r>
          <rPr>
            <sz val="8"/>
            <rFont val="Tahoma"/>
            <family val="2"/>
          </rPr>
          <t xml:space="preserve">Corresponds to the ratio between the </t>
        </r>
        <r>
          <rPr>
            <b/>
            <sz val="8"/>
            <rFont val="Tahoma"/>
            <family val="2"/>
          </rPr>
          <t>Total Charge Weight</t>
        </r>
        <r>
          <rPr>
            <sz val="8"/>
            <rFont val="Tahoma"/>
            <family val="2"/>
          </rPr>
          <t xml:space="preserve"> and its </t>
        </r>
        <r>
          <rPr>
            <b/>
            <sz val="8"/>
            <rFont val="Tahoma"/>
            <family val="2"/>
          </rPr>
          <t>Apparent Volume</t>
        </r>
        <r>
          <rPr>
            <sz val="8"/>
            <rFont val="Tahoma"/>
            <family val="2"/>
          </rPr>
          <t xml:space="preserve"> (including interstitial voids).</t>
        </r>
      </text>
    </comment>
    <comment ref="J11" authorId="1">
      <text>
        <r>
          <rPr>
            <sz val="8"/>
            <rFont val="Tahoma"/>
            <family val="2"/>
          </rPr>
          <t xml:space="preserve">Represents the so-called </t>
        </r>
        <r>
          <rPr>
            <b/>
            <sz val="8"/>
            <rFont val="Tahoma"/>
            <family val="2"/>
          </rPr>
          <t>Dynamic Angle of Repose (or Lift Angle)</t>
        </r>
        <r>
          <rPr>
            <sz val="8"/>
            <rFont val="Tahoma"/>
            <family val="2"/>
          </rPr>
          <t xml:space="preserve"> adopted during steady operation by the top surface of the mill charge ("the kidney") with respect to the horizontal. See </t>
        </r>
        <r>
          <rPr>
            <b/>
            <sz val="8"/>
            <rFont val="Tahoma"/>
            <family val="2"/>
          </rPr>
          <t>Mill Power_Ball Mills</t>
        </r>
        <r>
          <rPr>
            <sz val="8"/>
            <rFont val="Tahoma"/>
            <family val="2"/>
          </rPr>
          <t xml:space="preserve"> for further details.</t>
        </r>
      </text>
    </comment>
    <comment ref="R15" authorId="0">
      <text>
        <r>
          <rPr>
            <sz val="8"/>
            <rFont val="Tahoma"/>
            <family val="2"/>
          </rPr>
          <t>Mass flowrate through the mill, including</t>
        </r>
        <r>
          <rPr>
            <b/>
            <sz val="8"/>
            <rFont val="Tahoma"/>
            <family val="0"/>
          </rPr>
          <t xml:space="preserve"> Circulating Load.</t>
        </r>
      </text>
    </comment>
    <comment ref="E11" authorId="1">
      <text>
        <r>
          <rPr>
            <b/>
            <sz val="8"/>
            <rFont val="Tahoma"/>
            <family val="2"/>
          </rPr>
          <t>Rotational Mill Speed</t>
        </r>
        <r>
          <rPr>
            <sz val="8"/>
            <rFont val="Tahoma"/>
            <family val="2"/>
          </rPr>
          <t>, expressed as a percentage of the critical centrifugation speed of the mill.</t>
        </r>
      </text>
    </comment>
    <comment ref="F11" authorId="1">
      <text>
        <r>
          <rPr>
            <b/>
            <sz val="8"/>
            <rFont val="Tahoma"/>
            <family val="0"/>
          </rPr>
          <t>Total Apparent Volumetric Charge Filling -</t>
        </r>
        <r>
          <rPr>
            <sz val="8"/>
            <rFont val="Tahoma"/>
            <family val="2"/>
          </rPr>
          <t xml:space="preserve"> including balls and excess slurry on top of the ball charge, plus the interstitial voids in between the balls - expressed as a percentage of the net internal mill volume (inside liners).</t>
        </r>
      </text>
    </comment>
    <comment ref="G11" authorId="1">
      <text>
        <r>
          <rPr>
            <sz val="8"/>
            <rFont val="Tahoma"/>
            <family val="2"/>
          </rPr>
          <t xml:space="preserve">In some cases - particularly with </t>
        </r>
        <r>
          <rPr>
            <b/>
            <sz val="8"/>
            <rFont val="Tahoma"/>
            <family val="2"/>
          </rPr>
          <t>Overflow Discharge Mills</t>
        </r>
        <r>
          <rPr>
            <sz val="8"/>
            <rFont val="Tahoma"/>
            <family val="2"/>
          </rPr>
          <t xml:space="preserve"> operating at low ball fillings - slurry may accumulate on top of the ball charge; therefore, the </t>
        </r>
        <r>
          <rPr>
            <b/>
            <sz val="8"/>
            <rFont val="Tahoma"/>
            <family val="2"/>
          </rPr>
          <t xml:space="preserve">Total Charge Filling Level </t>
        </r>
        <r>
          <rPr>
            <b/>
            <sz val="8"/>
            <color indexed="10"/>
            <rFont val="Tahoma"/>
            <family val="2"/>
          </rPr>
          <t>(Cell G13)</t>
        </r>
        <r>
          <rPr>
            <sz val="8"/>
            <color indexed="10"/>
            <rFont val="Tahoma"/>
            <family val="2"/>
          </rPr>
          <t xml:space="preserve"> </t>
        </r>
        <r>
          <rPr>
            <sz val="8"/>
            <rFont val="Tahoma"/>
            <family val="2"/>
          </rPr>
          <t xml:space="preserve">could be higher than the actual </t>
        </r>
        <r>
          <rPr>
            <b/>
            <sz val="8"/>
            <rFont val="Tahoma"/>
            <family val="2"/>
          </rPr>
          <t>Ball Filling Level</t>
        </r>
        <r>
          <rPr>
            <sz val="8"/>
            <rFont val="Tahoma"/>
            <family val="2"/>
          </rPr>
          <t xml:space="preserve"> </t>
        </r>
        <r>
          <rPr>
            <b/>
            <sz val="8"/>
            <color indexed="10"/>
            <rFont val="Tahoma"/>
            <family val="2"/>
          </rPr>
          <t>(Cell H13)</t>
        </r>
        <r>
          <rPr>
            <sz val="8"/>
            <rFont val="Tahoma"/>
            <family val="2"/>
          </rPr>
          <t>.</t>
        </r>
      </text>
    </comment>
    <comment ref="H11" authorId="1">
      <text>
        <r>
          <rPr>
            <sz val="8"/>
            <rFont val="Tahoma"/>
            <family val="2"/>
          </rPr>
          <t xml:space="preserve">This value represents the </t>
        </r>
        <r>
          <rPr>
            <b/>
            <sz val="8"/>
            <rFont val="Tahoma"/>
            <family val="2"/>
          </rPr>
          <t>Volumetric Fractional Filling of the Voids</t>
        </r>
        <r>
          <rPr>
            <sz val="8"/>
            <rFont val="Tahoma"/>
            <family val="2"/>
          </rPr>
          <t xml:space="preserve"> in between the balls by the retained slurry in the mill charge.
As defined, this value should never exceed 100%, but in some cases - particularly in </t>
        </r>
        <r>
          <rPr>
            <b/>
            <sz val="8"/>
            <rFont val="Tahoma"/>
            <family val="2"/>
          </rPr>
          <t>Grate Discharge Mills</t>
        </r>
        <r>
          <rPr>
            <sz val="8"/>
            <rFont val="Tahoma"/>
            <family val="2"/>
          </rPr>
          <t xml:space="preserve"> - it could be lower than 100%.
Note that this</t>
        </r>
        <r>
          <rPr>
            <b/>
            <sz val="8"/>
            <rFont val="Tahoma"/>
            <family val="2"/>
          </rPr>
          <t xml:space="preserve"> interstitial</t>
        </r>
        <r>
          <rPr>
            <sz val="8"/>
            <rFont val="Tahoma"/>
            <family val="2"/>
          </rPr>
          <t xml:space="preserve"> slurry does not include the </t>
        </r>
        <r>
          <rPr>
            <b/>
            <sz val="8"/>
            <rFont val="Tahoma"/>
            <family val="2"/>
          </rPr>
          <t>overfilling</t>
        </r>
        <r>
          <rPr>
            <sz val="8"/>
            <rFont val="Tahoma"/>
            <family val="2"/>
          </rPr>
          <t xml:space="preserve"> slurry derived from the difference between </t>
        </r>
        <r>
          <rPr>
            <b/>
            <sz val="8"/>
            <color indexed="10"/>
            <rFont val="Tahoma"/>
            <family val="2"/>
          </rPr>
          <t xml:space="preserve">(Cell G13) </t>
        </r>
        <r>
          <rPr>
            <sz val="8"/>
            <rFont val="Tahoma"/>
            <family val="2"/>
          </rPr>
          <t>and</t>
        </r>
        <r>
          <rPr>
            <sz val="8"/>
            <color indexed="10"/>
            <rFont val="Tahoma"/>
            <family val="2"/>
          </rPr>
          <t xml:space="preserve"> </t>
        </r>
        <r>
          <rPr>
            <b/>
            <sz val="8"/>
            <color indexed="10"/>
            <rFont val="Tahoma"/>
            <family val="2"/>
          </rPr>
          <t>(Cell H13)</t>
        </r>
        <r>
          <rPr>
            <sz val="8"/>
            <rFont val="Tahoma"/>
            <family val="2"/>
          </rPr>
          <t>.</t>
        </r>
      </text>
    </comment>
    <comment ref="E24"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sharedStrings.xml><?xml version="1.0" encoding="utf-8"?>
<sst xmlns="http://schemas.openxmlformats.org/spreadsheetml/2006/main" count="245" uniqueCount="169">
  <si>
    <t>Mesh</t>
  </si>
  <si>
    <t>Opening</t>
  </si>
  <si>
    <t>i</t>
  </si>
  <si>
    <t>Selection Function :</t>
  </si>
  <si>
    <t>alpha2</t>
  </si>
  <si>
    <t>dcrit</t>
  </si>
  <si>
    <t>Mid-Size</t>
  </si>
  <si>
    <t>SiE</t>
  </si>
  <si>
    <t>Breakage Function :</t>
  </si>
  <si>
    <t>Beta1</t>
  </si>
  <si>
    <t>Beta2</t>
  </si>
  <si>
    <t>Ebar</t>
  </si>
  <si>
    <t>Matrix J</t>
  </si>
  <si>
    <t>Matrix T</t>
  </si>
  <si>
    <t>Vector SiE</t>
  </si>
  <si>
    <t>Matrix bij</t>
  </si>
  <si>
    <t>Matrix Tij (inverse)</t>
  </si>
  <si>
    <t>Mill</t>
  </si>
  <si>
    <t>Feed</t>
  </si>
  <si>
    <t>Matrix T (inverse)</t>
  </si>
  <si>
    <t>Matrix T*J</t>
  </si>
  <si>
    <t>Matrix [T*J*T(inv.)]</t>
  </si>
  <si>
    <t>Discharge</t>
  </si>
  <si>
    <t>% Solids (by weight)</t>
  </si>
  <si>
    <t>Remarks</t>
  </si>
  <si>
    <t>Mill Dimensions and Operating Conditions</t>
  </si>
  <si>
    <t>% Critical</t>
  </si>
  <si>
    <t>Speed</t>
  </si>
  <si>
    <t>%</t>
  </si>
  <si>
    <t>Lift</t>
  </si>
  <si>
    <t>Angle, (°)</t>
  </si>
  <si>
    <t>ft</t>
  </si>
  <si>
    <t>ton/m3</t>
  </si>
  <si>
    <t>Cummulative</t>
  </si>
  <si>
    <t>Ore Density, ton/m3</t>
  </si>
  <si>
    <t>Partial</t>
  </si>
  <si>
    <t>Selection</t>
  </si>
  <si>
    <t>Breakage</t>
  </si>
  <si>
    <t>Remarks :</t>
  </si>
  <si>
    <t xml:space="preserve">  % Solids (by weight)</t>
  </si>
  <si>
    <t xml:space="preserve">  D80, microns</t>
  </si>
  <si>
    <t>Test N°</t>
  </si>
  <si>
    <t>Feed Size Distributions</t>
  </si>
  <si>
    <t>Mill Feed</t>
  </si>
  <si>
    <t>Objective Function</t>
  </si>
  <si>
    <r>
      <t>w</t>
    </r>
    <r>
      <rPr>
        <vertAlign val="subscript"/>
        <sz val="9.5"/>
        <rFont val="Arial"/>
        <family val="2"/>
      </rPr>
      <t>i</t>
    </r>
  </si>
  <si>
    <t>% Ret</t>
  </si>
  <si>
    <t>% Pass</t>
  </si>
  <si>
    <t>sum</t>
  </si>
  <si>
    <t>Exp</t>
  </si>
  <si>
    <t>Adj.</t>
  </si>
  <si>
    <t>Beta00</t>
  </si>
  <si>
    <t>Beta01</t>
  </si>
  <si>
    <t>Beta0J</t>
  </si>
  <si>
    <t>alpha01</t>
  </si>
  <si>
    <t>alpha02</t>
  </si>
  <si>
    <t>alpha11</t>
  </si>
  <si>
    <t>alpha12</t>
  </si>
  <si>
    <t>DESIGN AND OPERATING CONDITIONS</t>
  </si>
  <si>
    <t xml:space="preserve">  Speed, % Critical</t>
  </si>
  <si>
    <t xml:space="preserve">  App. Dens., ton/m3</t>
  </si>
  <si>
    <t>Particle Size Distributions (Cumm. % Passing)</t>
  </si>
  <si>
    <t>Exp.</t>
  </si>
  <si>
    <t>/</t>
  </si>
  <si>
    <t>MODEL PARAMETERS</t>
  </si>
  <si>
    <t xml:space="preserve">  Water, m3/hr</t>
  </si>
  <si>
    <t xml:space="preserve">  Throughput, ton/hr</t>
  </si>
  <si>
    <t xml:space="preserve">  Slurry, ton/hr</t>
  </si>
  <si>
    <t xml:space="preserve">  Slurry, m3/hr</t>
  </si>
  <si>
    <t xml:space="preserve">  Slurry Dens., ton/m3</t>
  </si>
  <si>
    <t xml:space="preserve"> </t>
  </si>
  <si>
    <t>BALL_PARAM</t>
  </si>
  <si>
    <t>Conventional Grinding Model Parameter Estimator</t>
  </si>
  <si>
    <t>Configuration : OPEN</t>
  </si>
  <si>
    <t>Error</t>
  </si>
  <si>
    <r>
      <t xml:space="preserve">About the </t>
    </r>
    <r>
      <rPr>
        <b/>
        <i/>
        <sz val="10"/>
        <color indexed="18"/>
        <rFont val="Arial"/>
        <family val="2"/>
      </rPr>
      <t>BallParam_Open</t>
    </r>
    <r>
      <rPr>
        <i/>
        <sz val="10"/>
        <color indexed="18"/>
        <rFont val="Arial"/>
        <family val="2"/>
      </rPr>
      <t xml:space="preserve"> Spreadsheet ...</t>
    </r>
  </si>
  <si>
    <r>
      <t xml:space="preserve">(*) Suggested Default Values : </t>
    </r>
    <r>
      <rPr>
        <b/>
        <sz val="8.5"/>
        <rFont val="Arial"/>
        <family val="2"/>
      </rPr>
      <t>alpha02 = 0</t>
    </r>
    <r>
      <rPr>
        <sz val="10"/>
        <rFont val="Arial"/>
        <family val="0"/>
      </rPr>
      <t xml:space="preserve"> and </t>
    </r>
    <r>
      <rPr>
        <b/>
        <sz val="10"/>
        <rFont val="Arial"/>
        <family val="2"/>
      </rPr>
      <t>beta01 = 0</t>
    </r>
    <r>
      <rPr>
        <sz val="10"/>
        <rFont val="Arial"/>
        <family val="0"/>
      </rPr>
      <t>.</t>
    </r>
  </si>
  <si>
    <r>
      <t xml:space="preserve">Moly-Cop Tools </t>
    </r>
    <r>
      <rPr>
        <vertAlign val="superscript"/>
        <sz val="12"/>
        <color indexed="18"/>
        <rFont val="Comic Sans MS"/>
        <family val="4"/>
      </rPr>
      <t>TM</t>
    </r>
  </si>
  <si>
    <r>
      <t xml:space="preserve">BALLPARAM_OPEN : </t>
    </r>
    <r>
      <rPr>
        <b/>
        <sz val="12"/>
        <color indexed="8"/>
        <rFont val="Arial"/>
        <family val="2"/>
      </rPr>
      <t>Estimation of Grinding Parameters from Plant Scale Data</t>
    </r>
  </si>
  <si>
    <t xml:space="preserve"> Base Case Example</t>
  </si>
  <si>
    <r>
      <t xml:space="preserve">Mill Disch. </t>
    </r>
    <r>
      <rPr>
        <i/>
        <sz val="9.5"/>
        <rFont val="Arial"/>
        <family val="2"/>
      </rPr>
      <t>(exp)</t>
    </r>
  </si>
  <si>
    <r>
      <t xml:space="preserve">Mill Disch. </t>
    </r>
    <r>
      <rPr>
        <i/>
        <sz val="9.5"/>
        <rFont val="Arial"/>
        <family val="2"/>
      </rPr>
      <t>(adj)</t>
    </r>
  </si>
  <si>
    <r>
      <t>BALLPARAM_OPEN</t>
    </r>
    <r>
      <rPr>
        <b/>
        <sz val="12"/>
        <color indexed="8"/>
        <rFont val="Arial"/>
        <family val="2"/>
      </rPr>
      <t xml:space="preserve"> : Estimation of Grinding Parameters from Plant Scale Data</t>
    </r>
  </si>
  <si>
    <t>SELECTION FUNCTION :</t>
  </si>
  <si>
    <t>BREAKAGE FUNCTION :</t>
  </si>
  <si>
    <t xml:space="preserve">   alpha0</t>
  </si>
  <si>
    <t xml:space="preserve">   alpha1</t>
  </si>
  <si>
    <t xml:space="preserve">   alpha2</t>
  </si>
  <si>
    <t xml:space="preserve">   Dcrit</t>
  </si>
  <si>
    <t xml:space="preserve"> Expanded Form</t>
  </si>
  <si>
    <t xml:space="preserve">   alpha02</t>
  </si>
  <si>
    <t xml:space="preserve">   alpha12</t>
  </si>
  <si>
    <t xml:space="preserve">   beta0</t>
  </si>
  <si>
    <t xml:space="preserve">   beta1</t>
  </si>
  <si>
    <t xml:space="preserve">   beta2</t>
  </si>
  <si>
    <t xml:space="preserve">   beta01</t>
  </si>
  <si>
    <r>
      <t>Note</t>
    </r>
    <r>
      <rPr>
        <sz val="10"/>
        <color indexed="9"/>
        <rFont val="Arial"/>
        <family val="2"/>
      </rPr>
      <t xml:space="preserve"> : Current calculations are not valid, if SOLVER has not been run after the last data modification.</t>
    </r>
  </si>
  <si>
    <t xml:space="preserve">  alpha01</t>
  </si>
  <si>
    <t xml:space="preserve">  alpha02</t>
  </si>
  <si>
    <t xml:space="preserve">  alpha11</t>
  </si>
  <si>
    <t xml:space="preserve">  alpha12</t>
  </si>
  <si>
    <t xml:space="preserve">  alpha2</t>
  </si>
  <si>
    <t xml:space="preserve">  Dcrit</t>
  </si>
  <si>
    <t xml:space="preserve">  beta00</t>
  </si>
  <si>
    <t xml:space="preserve">  beta01</t>
  </si>
  <si>
    <t xml:space="preserve">  beta1</t>
  </si>
  <si>
    <t xml:space="preserve">  beta2</t>
  </si>
  <si>
    <t xml:space="preserve">  Obj. Function</t>
  </si>
  <si>
    <t>Ave.</t>
  </si>
  <si>
    <t>Std.</t>
  </si>
  <si>
    <t>Coeff.</t>
  </si>
  <si>
    <t>Value</t>
  </si>
  <si>
    <t>Dev.</t>
  </si>
  <si>
    <t>of Var.</t>
  </si>
  <si>
    <t>(*) To bring values from the above Control_Panel table proceed as follows :</t>
  </si>
  <si>
    <r>
      <t xml:space="preserve">     1. Select all cells in the range </t>
    </r>
    <r>
      <rPr>
        <b/>
        <sz val="10"/>
        <rFont val="Arial"/>
        <family val="2"/>
      </rPr>
      <t>E5:E27</t>
    </r>
    <r>
      <rPr>
        <sz val="10"/>
        <rFont val="Arial"/>
        <family val="0"/>
      </rPr>
      <t xml:space="preserve">. </t>
    </r>
  </si>
  <si>
    <r>
      <t xml:space="preserve">     2. Use the </t>
    </r>
    <r>
      <rPr>
        <b/>
        <sz val="10"/>
        <rFont val="Arial"/>
        <family val="2"/>
      </rPr>
      <t>Copy</t>
    </r>
    <r>
      <rPr>
        <sz val="10"/>
        <rFont val="Arial"/>
        <family val="0"/>
      </rPr>
      <t xml:space="preserve"> or </t>
    </r>
    <r>
      <rPr>
        <b/>
        <sz val="10"/>
        <rFont val="Arial"/>
        <family val="2"/>
      </rPr>
      <t>Control C</t>
    </r>
    <r>
      <rPr>
        <sz val="10"/>
        <rFont val="Arial"/>
        <family val="0"/>
      </rPr>
      <t xml:space="preserve"> commands.</t>
    </r>
  </si>
  <si>
    <r>
      <t xml:space="preserve">     3. Select a convenient cell in the range </t>
    </r>
    <r>
      <rPr>
        <b/>
        <sz val="10"/>
        <rFont val="Arial"/>
        <family val="2"/>
      </rPr>
      <t xml:space="preserve">E35:M35 </t>
    </r>
    <r>
      <rPr>
        <sz val="10"/>
        <rFont val="Arial"/>
        <family val="2"/>
      </rPr>
      <t>for every different data set being analyzed.</t>
    </r>
  </si>
  <si>
    <r>
      <t xml:space="preserve">     4. Use the </t>
    </r>
    <r>
      <rPr>
        <b/>
        <sz val="10"/>
        <rFont val="Arial"/>
        <family val="2"/>
      </rPr>
      <t>Paste Special_Paste Values</t>
    </r>
    <r>
      <rPr>
        <sz val="10"/>
        <rFont val="Arial"/>
        <family val="0"/>
      </rPr>
      <t xml:space="preserve"> command.</t>
    </r>
  </si>
  <si>
    <t xml:space="preserve">  Energy, kWh/ton</t>
  </si>
  <si>
    <t xml:space="preserve"> Balls</t>
  </si>
  <si>
    <t>Charge</t>
  </si>
  <si>
    <t>Balls</t>
  </si>
  <si>
    <t>Interstitial</t>
  </si>
  <si>
    <t xml:space="preserve"> Overfilling</t>
  </si>
  <si>
    <t>Filling,%</t>
  </si>
  <si>
    <t>Slurry Filling,%</t>
  </si>
  <si>
    <t xml:space="preserve"> Slurry</t>
  </si>
  <si>
    <t xml:space="preserve"> % Losses</t>
  </si>
  <si>
    <t>Mill Charge Weight, tons</t>
  </si>
  <si>
    <t>Apparent</t>
  </si>
  <si>
    <t>Volume,</t>
  </si>
  <si>
    <t>Ball</t>
  </si>
  <si>
    <t>Slurry</t>
  </si>
  <si>
    <t>Density</t>
  </si>
  <si>
    <t>Slurry Density, ton/m3</t>
  </si>
  <si>
    <t>m3</t>
  </si>
  <si>
    <t>Balls Density, ton/m3</t>
  </si>
  <si>
    <t xml:space="preserve"> Gross kW</t>
  </si>
  <si>
    <t>Excess</t>
  </si>
  <si>
    <t>Total Energy, kWh/ton</t>
  </si>
  <si>
    <t>Balls Energy, kWh/ton</t>
  </si>
  <si>
    <t>Mill Flowrate, tph (dry)</t>
  </si>
  <si>
    <t xml:space="preserve"> Net Power</t>
  </si>
  <si>
    <t xml:space="preserve">  Balls Filling, %</t>
  </si>
  <si>
    <t xml:space="preserve">  Net Power, kW</t>
  </si>
  <si>
    <t>rpm</t>
  </si>
  <si>
    <r>
      <t xml:space="preserve">BALLPARAM_Open : </t>
    </r>
    <r>
      <rPr>
        <b/>
        <sz val="12"/>
        <color indexed="8"/>
        <rFont val="Arial"/>
        <family val="2"/>
      </rPr>
      <t>Summary of Parameter Search Results</t>
    </r>
  </si>
  <si>
    <t xml:space="preserve">  Mill Throughput, ton/hr</t>
  </si>
  <si>
    <t>Reynolds Number</t>
  </si>
  <si>
    <t xml:space="preserve">  Water</t>
  </si>
  <si>
    <t>Slurry Viscosity, cp</t>
  </si>
  <si>
    <t xml:space="preserve">  % Solids (by volume)</t>
  </si>
  <si>
    <t>N</t>
  </si>
  <si>
    <t>Make-up Ball Size, mm</t>
  </si>
  <si>
    <t>Eff. Length</t>
  </si>
  <si>
    <t>Eff. Diam.</t>
  </si>
  <si>
    <t xml:space="preserve">  Eff. Diameter, ft</t>
  </si>
  <si>
    <t xml:space="preserve">  Eff. Length, ft</t>
  </si>
  <si>
    <t>% Passing</t>
  </si>
  <si>
    <r>
      <t>w</t>
    </r>
    <r>
      <rPr>
        <vertAlign val="subscript"/>
        <sz val="9.5"/>
        <rFont val="Arial"/>
        <family val="2"/>
      </rPr>
      <t xml:space="preserve">i </t>
    </r>
    <r>
      <rPr>
        <sz val="9.5"/>
        <rFont val="Arial"/>
        <family val="2"/>
      </rPr>
      <t>(error)^2</t>
    </r>
  </si>
  <si>
    <r>
      <t xml:space="preserve">Moly-Cop Tools </t>
    </r>
    <r>
      <rPr>
        <vertAlign val="superscript"/>
        <sz val="12"/>
        <color indexed="18"/>
        <rFont val="Comic Sans MS"/>
        <family val="4"/>
      </rPr>
      <t xml:space="preserve">TM   </t>
    </r>
    <r>
      <rPr>
        <sz val="12"/>
        <color indexed="18"/>
        <rFont val="Comic Sans MS"/>
        <family val="4"/>
      </rPr>
      <t>(Version 2.0)</t>
    </r>
  </si>
  <si>
    <t>Moly-Cop Tools, Version 2.0</t>
  </si>
  <si>
    <r>
      <t>Moly-Cop Tools</t>
    </r>
    <r>
      <rPr>
        <vertAlign val="superscript"/>
        <sz val="10"/>
        <rFont val="Arial"/>
        <family val="2"/>
      </rPr>
      <t>TM</t>
    </r>
    <r>
      <rPr>
        <sz val="10"/>
        <rFont val="Arial"/>
        <family val="2"/>
      </rPr>
      <t>, Version 2.0</t>
    </r>
  </si>
  <si>
    <t xml:space="preserve">  Arbiter's Flow Number</t>
  </si>
  <si>
    <t>3/4"</t>
  </si>
  <si>
    <t>1/2"</t>
  </si>
  <si>
    <t>3/8"</t>
  </si>
  <si>
    <t>1/4"</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</si>
</sst>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00000"/>
    <numFmt numFmtId="179" formatCode="0.000"/>
    <numFmt numFmtId="180" formatCode="0.0"/>
    <numFmt numFmtId="181" formatCode="0.0000"/>
    <numFmt numFmtId="182" formatCode="0.00_);[Red]\(0.00\)"/>
    <numFmt numFmtId="183" formatCode="0.000_);[Red]\(0.000\)"/>
    <numFmt numFmtId="184" formatCode="0.00;[Red]0.00"/>
    <numFmt numFmtId="185" formatCode="0.000000"/>
    <numFmt numFmtId="186" formatCode="0.0000000"/>
    <numFmt numFmtId="187" formatCode="0.00\ \ "/>
    <numFmt numFmtId="188" formatCode="0.0\ \ "/>
    <numFmt numFmtId="189" formatCode="0\ \ "/>
    <numFmt numFmtId="190" formatCode="0.00000_);[Red]\(0.00000\)"/>
    <numFmt numFmtId="191" formatCode="0.0000000000000"/>
    <numFmt numFmtId="192" formatCode="0.00000000"/>
    <numFmt numFmtId="193" formatCode="0.000000000000"/>
    <numFmt numFmtId="194" formatCode="0.000\ \ "/>
    <numFmt numFmtId="195" formatCode="#,##0_)\ ;\(#,##0\)\ "/>
    <numFmt numFmtId="196" formatCode="0\ "/>
  </numFmts>
  <fonts count="44">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13"/>
      <name val="Arial"/>
      <family val="2"/>
    </font>
    <font>
      <i/>
      <sz val="9.5"/>
      <name val="Arial"/>
      <family val="2"/>
    </font>
    <font>
      <vertAlign val="subscript"/>
      <sz val="9.5"/>
      <name val="Arial"/>
      <family val="2"/>
    </font>
    <font>
      <sz val="9.5"/>
      <name val="Arial"/>
      <family val="2"/>
    </font>
    <font>
      <b/>
      <sz val="9.5"/>
      <name val="Arial"/>
      <family val="2"/>
    </font>
    <font>
      <sz val="16"/>
      <name val="Arial"/>
      <family val="0"/>
    </font>
    <font>
      <sz val="21.75"/>
      <name val="Arial"/>
      <family val="0"/>
    </font>
    <font>
      <sz val="10"/>
      <color indexed="8"/>
      <name val="Arial"/>
      <family val="2"/>
    </font>
    <font>
      <b/>
      <i/>
      <sz val="10"/>
      <color indexed="18"/>
      <name val="Arial"/>
      <family val="2"/>
    </font>
    <font>
      <i/>
      <sz val="10"/>
      <color indexed="18"/>
      <name val="Arial"/>
      <family val="2"/>
    </font>
    <font>
      <b/>
      <sz val="8.5"/>
      <name val="Arial"/>
      <family val="2"/>
    </font>
    <font>
      <sz val="12"/>
      <color indexed="18"/>
      <name val="Comic Sans MS"/>
      <family val="4"/>
    </font>
    <font>
      <vertAlign val="superscript"/>
      <sz val="12"/>
      <color indexed="18"/>
      <name val="Comic Sans MS"/>
      <family val="4"/>
    </font>
    <font>
      <b/>
      <sz val="12"/>
      <color indexed="18"/>
      <name val="Arial"/>
      <family val="2"/>
    </font>
    <font>
      <b/>
      <sz val="12"/>
      <color indexed="8"/>
      <name val="Arial"/>
      <family val="2"/>
    </font>
    <font>
      <sz val="8"/>
      <name val="Tahoma"/>
      <family val="2"/>
    </font>
    <font>
      <b/>
      <sz val="8"/>
      <name val="Tahoma"/>
      <family val="2"/>
    </font>
    <font>
      <u val="single"/>
      <sz val="8"/>
      <name val="Tahoma"/>
      <family val="2"/>
    </font>
    <font>
      <sz val="8"/>
      <color indexed="10"/>
      <name val="Tahoma"/>
      <family val="2"/>
    </font>
    <font>
      <sz val="10"/>
      <color indexed="55"/>
      <name val="Arial"/>
      <family val="2"/>
    </font>
    <font>
      <b/>
      <sz val="10"/>
      <color indexed="9"/>
      <name val="Arial"/>
      <family val="2"/>
    </font>
    <font>
      <sz val="10"/>
      <color indexed="9"/>
      <name val="Arial"/>
      <family val="2"/>
    </font>
    <font>
      <b/>
      <sz val="10"/>
      <color indexed="18"/>
      <name val="Arial"/>
      <family val="2"/>
    </font>
    <font>
      <vertAlign val="subscript"/>
      <sz val="10"/>
      <name val="Arial"/>
      <family val="2"/>
    </font>
    <font>
      <vertAlign val="superscript"/>
      <sz val="10"/>
      <name val="Arial"/>
      <family val="2"/>
    </font>
    <font>
      <sz val="10"/>
      <name val="Symbol"/>
      <family val="1"/>
    </font>
    <font>
      <vertAlign val="superscript"/>
      <sz val="10"/>
      <name val="Symbol"/>
      <family val="1"/>
    </font>
    <font>
      <b/>
      <vertAlign val="subscript"/>
      <sz val="10"/>
      <name val="Arial"/>
      <family val="2"/>
    </font>
    <font>
      <sz val="12"/>
      <name val="Symbol"/>
      <family val="1"/>
    </font>
    <font>
      <sz val="14"/>
      <name val="Symbol"/>
      <family val="1"/>
    </font>
    <font>
      <b/>
      <sz val="10"/>
      <color indexed="10"/>
      <name val="Arial"/>
      <family val="2"/>
    </font>
    <font>
      <u val="single"/>
      <sz val="10"/>
      <name val="Arial"/>
      <family val="2"/>
    </font>
    <font>
      <b/>
      <sz val="10"/>
      <color indexed="55"/>
      <name val="Arial"/>
      <family val="2"/>
    </font>
    <font>
      <sz val="10"/>
      <color indexed="55"/>
      <name val="Symbol"/>
      <family val="1"/>
    </font>
    <font>
      <b/>
      <sz val="10"/>
      <color indexed="8"/>
      <name val="Arial"/>
      <family val="2"/>
    </font>
    <font>
      <sz val="10"/>
      <color indexed="23"/>
      <name val="Arial"/>
      <family val="2"/>
    </font>
    <font>
      <b/>
      <sz val="8"/>
      <color indexed="10"/>
      <name val="Tahoma"/>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8"/>
        <bgColor indexed="64"/>
      </patternFill>
    </fill>
    <fill>
      <patternFill patternType="solid">
        <fgColor indexed="11"/>
        <bgColor indexed="64"/>
      </patternFill>
    </fill>
  </fills>
  <borders count="4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style="double">
        <color indexed="10"/>
      </right>
      <top>
        <color indexed="63"/>
      </top>
      <bottom>
        <color indexed="63"/>
      </bottom>
    </border>
    <border>
      <left style="thin"/>
      <right style="thin"/>
      <top style="thin"/>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color indexed="63"/>
      </top>
      <bottom style="thin"/>
    </border>
    <border>
      <left style="thin"/>
      <right>
        <color indexed="63"/>
      </right>
      <top>
        <color indexed="63"/>
      </top>
      <bottom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color indexed="18"/>
      </top>
      <bottom>
        <color indexed="63"/>
      </bottom>
    </border>
    <border>
      <left>
        <color indexed="63"/>
      </left>
      <right style="double">
        <color indexed="18"/>
      </right>
      <top style="double">
        <color indexed="18"/>
      </top>
      <bottom>
        <color indexed="63"/>
      </bottom>
    </border>
    <border>
      <left style="double">
        <color indexed="18"/>
      </left>
      <right>
        <color indexed="63"/>
      </right>
      <top>
        <color indexed="63"/>
      </top>
      <bottom>
        <color indexed="63"/>
      </bottom>
    </border>
    <border>
      <left>
        <color indexed="63"/>
      </left>
      <right style="double">
        <color indexed="18"/>
      </right>
      <top>
        <color indexed="63"/>
      </top>
      <bottom>
        <color indexed="63"/>
      </bottom>
    </border>
    <border>
      <left style="double">
        <color indexed="18"/>
      </left>
      <right style="thin"/>
      <top>
        <color indexed="63"/>
      </top>
      <bottom style="thin"/>
    </border>
    <border>
      <left style="thin"/>
      <right style="double">
        <color indexed="18"/>
      </right>
      <top style="thin"/>
      <bottom style="thin"/>
    </border>
    <border>
      <left>
        <color indexed="63"/>
      </left>
      <right style="double">
        <color indexed="18"/>
      </right>
      <top>
        <color indexed="63"/>
      </top>
      <bottom style="thin"/>
    </border>
    <border>
      <left style="thin"/>
      <right style="double">
        <color indexed="18"/>
      </right>
      <top style="thin"/>
      <bottom>
        <color indexed="63"/>
      </bottom>
    </border>
    <border>
      <left style="double">
        <color indexed="18"/>
      </left>
      <right>
        <color indexed="63"/>
      </right>
      <top>
        <color indexed="63"/>
      </top>
      <bottom style="thin"/>
    </border>
    <border>
      <left style="thin"/>
      <right style="double">
        <color indexed="18"/>
      </right>
      <top>
        <color indexed="63"/>
      </top>
      <bottom>
        <color indexed="63"/>
      </bottom>
    </border>
    <border>
      <left style="thin"/>
      <right style="double">
        <color indexed="18"/>
      </right>
      <top>
        <color indexed="63"/>
      </top>
      <bottom style="thin"/>
    </border>
    <border>
      <left style="double">
        <color indexed="18"/>
      </left>
      <right>
        <color indexed="63"/>
      </right>
      <top style="double">
        <color indexed="18"/>
      </top>
      <bottom>
        <color indexed="63"/>
      </bottom>
    </border>
    <border>
      <left style="double">
        <color indexed="18"/>
      </left>
      <right style="double">
        <color indexed="18"/>
      </right>
      <top style="double">
        <color indexed="18"/>
      </top>
      <bottom>
        <color indexed="63"/>
      </bottom>
    </border>
    <border>
      <left style="double">
        <color indexed="18"/>
      </left>
      <right style="double">
        <color indexed="18"/>
      </right>
      <top>
        <color indexed="63"/>
      </top>
      <bottom>
        <color indexed="63"/>
      </bottom>
    </border>
    <border>
      <left style="double">
        <color indexed="18"/>
      </left>
      <right style="double">
        <color indexed="18"/>
      </right>
      <top style="thin">
        <color indexed="8"/>
      </top>
      <bottom style="double">
        <color indexed="18"/>
      </bottom>
    </border>
    <border>
      <left style="double">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style="double">
        <color indexed="18"/>
      </bottom>
    </border>
    <border>
      <left style="double">
        <color indexed="18"/>
      </left>
      <right style="double">
        <color indexed="18"/>
      </right>
      <top style="thin">
        <color indexed="8"/>
      </top>
      <bottom>
        <color indexed="63"/>
      </bottom>
    </border>
    <border>
      <left style="double">
        <color indexed="18"/>
      </left>
      <right style="double">
        <color indexed="18"/>
      </right>
      <top>
        <color indexed="63"/>
      </top>
      <bottom style="thin">
        <color indexed="8"/>
      </bottom>
    </border>
    <border>
      <left style="double">
        <color indexed="18"/>
      </left>
      <right style="double">
        <color indexed="1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178" fontId="0" fillId="0" borderId="0" xfId="0" applyNumberFormat="1" applyAlignment="1">
      <alignment/>
    </xf>
    <xf numFmtId="179" fontId="0" fillId="0" borderId="0" xfId="0" applyNumberFormat="1" applyAlignment="1">
      <alignment/>
    </xf>
    <xf numFmtId="0" fontId="0" fillId="0" borderId="0" xfId="0" applyAlignment="1">
      <alignment horizontal="right"/>
    </xf>
    <xf numFmtId="0" fontId="0" fillId="0" borderId="0" xfId="0" applyAlignment="1">
      <alignment horizontal="center"/>
    </xf>
    <xf numFmtId="180" fontId="0" fillId="0" borderId="0" xfId="0" applyNumberFormat="1" applyAlignment="1">
      <alignment/>
    </xf>
    <xf numFmtId="2" fontId="0" fillId="0" borderId="0" xfId="0" applyNumberFormat="1" applyAlignment="1">
      <alignment/>
    </xf>
    <xf numFmtId="0" fontId="0" fillId="0" borderId="0" xfId="0" applyAlignment="1">
      <alignment horizontal="left"/>
    </xf>
    <xf numFmtId="0" fontId="0" fillId="0" borderId="1" xfId="0" applyBorder="1" applyAlignment="1">
      <alignment/>
    </xf>
    <xf numFmtId="180" fontId="0" fillId="0" borderId="1" xfId="0" applyNumberFormat="1" applyBorder="1" applyAlignment="1">
      <alignment/>
    </xf>
    <xf numFmtId="0" fontId="0" fillId="0" borderId="2" xfId="0" applyBorder="1" applyAlignment="1">
      <alignment vertical="center"/>
    </xf>
    <xf numFmtId="1" fontId="0" fillId="0" borderId="2" xfId="0" applyNumberFormat="1" applyBorder="1" applyAlignment="1">
      <alignment vertical="center"/>
    </xf>
    <xf numFmtId="0" fontId="4" fillId="0" borderId="0" xfId="0" applyFont="1" applyAlignment="1">
      <alignment/>
    </xf>
    <xf numFmtId="0" fontId="0" fillId="0" borderId="0" xfId="0" applyBorder="1" applyAlignment="1">
      <alignment/>
    </xf>
    <xf numFmtId="0" fontId="1" fillId="0" borderId="0" xfId="0" applyFont="1" applyAlignment="1">
      <alignment horizontal="right"/>
    </xf>
    <xf numFmtId="0" fontId="1" fillId="0" borderId="0" xfId="0" applyFont="1" applyAlignment="1">
      <alignment/>
    </xf>
    <xf numFmtId="2" fontId="1" fillId="2" borderId="3" xfId="0" applyNumberFormat="1" applyFont="1" applyFill="1" applyBorder="1" applyAlignment="1">
      <alignment/>
    </xf>
    <xf numFmtId="0" fontId="0" fillId="0" borderId="1" xfId="0" applyBorder="1" applyAlignment="1">
      <alignment horizontal="left"/>
    </xf>
    <xf numFmtId="180" fontId="0" fillId="0" borderId="0" xfId="0" applyNumberFormat="1" applyAlignment="1">
      <alignment horizontal="left"/>
    </xf>
    <xf numFmtId="179" fontId="0" fillId="0" borderId="0" xfId="0" applyNumberFormat="1" applyAlignment="1">
      <alignment horizontal="left"/>
    </xf>
    <xf numFmtId="180" fontId="1" fillId="0" borderId="1" xfId="0" applyNumberFormat="1" applyFont="1" applyBorder="1" applyAlignment="1">
      <alignment/>
    </xf>
    <xf numFmtId="180" fontId="1" fillId="0" borderId="1" xfId="0" applyNumberFormat="1" applyFont="1" applyBorder="1" applyAlignment="1">
      <alignment horizontal="left"/>
    </xf>
    <xf numFmtId="2" fontId="1" fillId="0" borderId="1" xfId="0" applyNumberFormat="1" applyFont="1" applyBorder="1" applyAlignment="1">
      <alignment/>
    </xf>
    <xf numFmtId="179" fontId="0" fillId="0" borderId="0" xfId="0" applyNumberFormat="1" applyAlignment="1">
      <alignment horizontal="center"/>
    </xf>
    <xf numFmtId="0" fontId="0" fillId="0" borderId="1" xfId="0" applyBorder="1" applyAlignment="1">
      <alignment horizontal="center"/>
    </xf>
    <xf numFmtId="1" fontId="0" fillId="0" borderId="2" xfId="0" applyNumberFormat="1" applyBorder="1" applyAlignment="1">
      <alignment horizontal="center" vertical="center"/>
    </xf>
    <xf numFmtId="180" fontId="0" fillId="0" borderId="2" xfId="0" applyNumberFormat="1" applyBorder="1" applyAlignment="1">
      <alignment horizontal="center" vertical="center"/>
    </xf>
    <xf numFmtId="187" fontId="0" fillId="0" borderId="0" xfId="0" applyNumberFormat="1" applyAlignment="1">
      <alignment/>
    </xf>
    <xf numFmtId="187" fontId="0" fillId="0" borderId="1" xfId="0" applyNumberFormat="1" applyBorder="1" applyAlignment="1">
      <alignment/>
    </xf>
    <xf numFmtId="189" fontId="0" fillId="0" borderId="2" xfId="0" applyNumberFormat="1" applyBorder="1" applyAlignment="1">
      <alignment vertical="center"/>
    </xf>
    <xf numFmtId="187" fontId="0" fillId="0" borderId="2" xfId="0" applyNumberFormat="1" applyBorder="1" applyAlignment="1">
      <alignment horizontal="center" vertical="center"/>
    </xf>
    <xf numFmtId="187" fontId="0" fillId="0" borderId="0" xfId="0" applyNumberFormat="1" applyAlignment="1">
      <alignment horizontal="center" vertical="center"/>
    </xf>
    <xf numFmtId="0" fontId="0" fillId="0" borderId="2" xfId="0" applyBorder="1" applyAlignment="1">
      <alignment/>
    </xf>
    <xf numFmtId="0" fontId="0" fillId="3" borderId="4" xfId="0" applyFill="1" applyBorder="1" applyAlignment="1">
      <alignment/>
    </xf>
    <xf numFmtId="0" fontId="0" fillId="3" borderId="0" xfId="0" applyFill="1" applyBorder="1" applyAlignment="1">
      <alignment/>
    </xf>
    <xf numFmtId="0" fontId="0" fillId="3" borderId="0" xfId="0" applyFill="1" applyBorder="1" applyAlignment="1">
      <alignment horizontal="right"/>
    </xf>
    <xf numFmtId="1" fontId="0" fillId="4" borderId="5" xfId="0" applyNumberFormat="1" applyFill="1" applyBorder="1" applyAlignment="1">
      <alignment/>
    </xf>
    <xf numFmtId="2" fontId="0" fillId="4"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1" fontId="0" fillId="4" borderId="1" xfId="0" applyNumberFormat="1" applyFill="1" applyBorder="1" applyAlignment="1">
      <alignment/>
    </xf>
    <xf numFmtId="182" fontId="0" fillId="4" borderId="8" xfId="0" applyNumberFormat="1" applyFill="1" applyBorder="1" applyAlignment="1">
      <alignment/>
    </xf>
    <xf numFmtId="0" fontId="0" fillId="3" borderId="1"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center"/>
    </xf>
    <xf numFmtId="181" fontId="0" fillId="3" borderId="0" xfId="0" applyNumberFormat="1" applyFill="1" applyBorder="1" applyAlignment="1">
      <alignment/>
    </xf>
    <xf numFmtId="179" fontId="0" fillId="3" borderId="0" xfId="0" applyNumberFormat="1" applyFill="1" applyBorder="1" applyAlignment="1">
      <alignment/>
    </xf>
    <xf numFmtId="0" fontId="1" fillId="3" borderId="0" xfId="0" applyFont="1" applyFill="1" applyBorder="1" applyAlignment="1">
      <alignment/>
    </xf>
    <xf numFmtId="180" fontId="0" fillId="3" borderId="0" xfId="0" applyNumberFormat="1" applyFill="1" applyBorder="1" applyAlignment="1">
      <alignment/>
    </xf>
    <xf numFmtId="1" fontId="0" fillId="3" borderId="0" xfId="0" applyNumberFormat="1" applyFill="1" applyBorder="1" applyAlignment="1">
      <alignment/>
    </xf>
    <xf numFmtId="0" fontId="13" fillId="3" borderId="0" xfId="0" applyFont="1" applyFill="1" applyBorder="1" applyAlignment="1">
      <alignment/>
    </xf>
    <xf numFmtId="0" fontId="3" fillId="3" borderId="0" xfId="0" applyFont="1" applyFill="1" applyBorder="1" applyAlignment="1">
      <alignment horizontal="left"/>
    </xf>
    <xf numFmtId="0" fontId="0" fillId="3" borderId="14" xfId="0" applyFill="1" applyBorder="1" applyAlignment="1">
      <alignment/>
    </xf>
    <xf numFmtId="0" fontId="0" fillId="5" borderId="15" xfId="0" applyFont="1" applyFill="1" applyBorder="1" applyAlignment="1">
      <alignment/>
    </xf>
    <xf numFmtId="0" fontId="1" fillId="5" borderId="16" xfId="0" applyFont="1" applyFill="1" applyBorder="1" applyAlignment="1">
      <alignment/>
    </xf>
    <xf numFmtId="0" fontId="1" fillId="5" borderId="17" xfId="0" applyFont="1" applyFill="1" applyBorder="1" applyAlignment="1">
      <alignment/>
    </xf>
    <xf numFmtId="0" fontId="1" fillId="5" borderId="9" xfId="0" applyFont="1" applyFill="1" applyBorder="1" applyAlignment="1">
      <alignment/>
    </xf>
    <xf numFmtId="0" fontId="1" fillId="5" borderId="1" xfId="0" applyFont="1" applyFill="1" applyBorder="1" applyAlignment="1">
      <alignment/>
    </xf>
    <xf numFmtId="0" fontId="1" fillId="5" borderId="8" xfId="0" applyFont="1" applyFill="1" applyBorder="1" applyAlignment="1">
      <alignment/>
    </xf>
    <xf numFmtId="0" fontId="1" fillId="0" borderId="1" xfId="0" applyFont="1" applyFill="1" applyBorder="1" applyAlignment="1">
      <alignment horizontal="center" vertical="center"/>
    </xf>
    <xf numFmtId="1" fontId="0" fillId="4" borderId="0" xfId="0" applyNumberFormat="1" applyFill="1" applyBorder="1" applyAlignment="1">
      <alignment/>
    </xf>
    <xf numFmtId="0" fontId="0" fillId="3" borderId="0" xfId="0" applyFill="1" applyBorder="1" applyAlignment="1">
      <alignment horizontal="center"/>
    </xf>
    <xf numFmtId="180" fontId="0" fillId="3" borderId="0" xfId="0" applyNumberFormat="1" applyFill="1" applyBorder="1" applyAlignment="1">
      <alignment horizontal="right"/>
    </xf>
    <xf numFmtId="2" fontId="0" fillId="3" borderId="0" xfId="0" applyNumberFormat="1" applyFill="1" applyBorder="1" applyAlignment="1">
      <alignment/>
    </xf>
    <xf numFmtId="0" fontId="0" fillId="3" borderId="0" xfId="0" applyFill="1" applyBorder="1" applyAlignment="1">
      <alignment vertical="center"/>
    </xf>
    <xf numFmtId="2" fontId="0" fillId="3" borderId="0" xfId="0" applyNumberFormat="1" applyFill="1" applyBorder="1" applyAlignment="1">
      <alignment horizontal="right" vertical="center"/>
    </xf>
    <xf numFmtId="182" fontId="0" fillId="4" borderId="0" xfId="0" applyNumberFormat="1" applyFill="1" applyBorder="1" applyAlignment="1">
      <alignment/>
    </xf>
    <xf numFmtId="0" fontId="15" fillId="0" borderId="0" xfId="0" applyFont="1" applyAlignment="1">
      <alignment/>
    </xf>
    <xf numFmtId="0" fontId="17" fillId="3" borderId="11" xfId="0" applyFont="1" applyFill="1" applyBorder="1" applyAlignment="1">
      <alignment vertical="center"/>
    </xf>
    <xf numFmtId="0" fontId="0" fillId="3" borderId="0"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2" fontId="0" fillId="4" borderId="20" xfId="0" applyNumberFormat="1" applyFill="1" applyBorder="1" applyAlignment="1">
      <alignment/>
    </xf>
    <xf numFmtId="2" fontId="0" fillId="4" borderId="22" xfId="0" applyNumberFormat="1" applyFill="1" applyBorder="1" applyAlignment="1">
      <alignment/>
    </xf>
    <xf numFmtId="2" fontId="0" fillId="4" borderId="23" xfId="0" applyNumberFormat="1" applyFill="1" applyBorder="1" applyAlignment="1">
      <alignment/>
    </xf>
    <xf numFmtId="0" fontId="0" fillId="3" borderId="24" xfId="0" applyFill="1" applyBorder="1" applyAlignment="1">
      <alignment/>
    </xf>
    <xf numFmtId="2" fontId="0" fillId="4" borderId="25" xfId="0" applyNumberFormat="1" applyFill="1" applyBorder="1" applyAlignment="1">
      <alignment/>
    </xf>
    <xf numFmtId="2" fontId="0" fillId="4" borderId="21" xfId="0" applyNumberFormat="1" applyFill="1" applyBorder="1" applyAlignment="1">
      <alignment/>
    </xf>
    <xf numFmtId="2" fontId="0" fillId="4" borderId="24" xfId="0" applyNumberFormat="1" applyFill="1" applyBorder="1" applyAlignment="1">
      <alignment/>
    </xf>
    <xf numFmtId="2" fontId="0" fillId="3" borderId="26" xfId="0" applyNumberFormat="1" applyFill="1" applyBorder="1" applyAlignment="1">
      <alignment/>
    </xf>
    <xf numFmtId="2" fontId="0" fillId="4" borderId="26" xfId="0" applyNumberFormat="1" applyFill="1" applyBorder="1" applyAlignment="1">
      <alignment/>
    </xf>
    <xf numFmtId="2" fontId="0" fillId="4" borderId="27" xfId="0" applyNumberFormat="1" applyFill="1" applyBorder="1" applyAlignment="1">
      <alignment/>
    </xf>
    <xf numFmtId="2" fontId="0" fillId="4" borderId="28" xfId="0" applyNumberFormat="1" applyFill="1" applyBorder="1" applyAlignment="1">
      <alignment/>
    </xf>
    <xf numFmtId="0" fontId="0" fillId="3" borderId="26" xfId="0" applyFill="1" applyBorder="1" applyAlignment="1">
      <alignment/>
    </xf>
    <xf numFmtId="0" fontId="25" fillId="0" borderId="0" xfId="0" applyFont="1" applyAlignment="1">
      <alignment/>
    </xf>
    <xf numFmtId="0" fontId="25" fillId="2" borderId="0" xfId="0" applyFont="1" applyFill="1" applyAlignment="1">
      <alignment/>
    </xf>
    <xf numFmtId="178" fontId="25" fillId="0" borderId="0" xfId="0" applyNumberFormat="1" applyFont="1" applyAlignment="1">
      <alignment/>
    </xf>
    <xf numFmtId="2" fontId="25" fillId="0" borderId="0" xfId="0" applyNumberFormat="1" applyFont="1" applyAlignment="1">
      <alignment/>
    </xf>
    <xf numFmtId="0" fontId="0" fillId="4" borderId="5" xfId="0" applyFill="1" applyBorder="1" applyAlignment="1">
      <alignment horizontal="center"/>
    </xf>
    <xf numFmtId="0" fontId="17" fillId="0" borderId="0" xfId="0" applyFont="1" applyFill="1" applyBorder="1" applyAlignment="1">
      <alignment vertical="center"/>
    </xf>
    <xf numFmtId="0" fontId="0" fillId="6" borderId="29" xfId="0" applyFill="1" applyBorder="1" applyAlignment="1">
      <alignment/>
    </xf>
    <xf numFmtId="0" fontId="17" fillId="6" borderId="18" xfId="0" applyFont="1" applyFill="1" applyBorder="1" applyAlignment="1">
      <alignment vertical="center"/>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xf>
    <xf numFmtId="0" fontId="0" fillId="6" borderId="0" xfId="0" applyFill="1" applyBorder="1" applyAlignment="1">
      <alignment/>
    </xf>
    <xf numFmtId="0" fontId="1" fillId="6" borderId="0" xfId="0" applyFont="1" applyFill="1" applyBorder="1" applyAlignment="1">
      <alignment horizontal="left"/>
    </xf>
    <xf numFmtId="0" fontId="0" fillId="6" borderId="0" xfId="0" applyFill="1" applyAlignment="1">
      <alignment/>
    </xf>
    <xf numFmtId="0" fontId="1" fillId="6" borderId="30" xfId="0" applyFont="1" applyFill="1" applyBorder="1" applyAlignment="1">
      <alignment horizontal="center"/>
    </xf>
    <xf numFmtId="0" fontId="1" fillId="6" borderId="31" xfId="0" applyFont="1" applyFill="1" applyBorder="1" applyAlignment="1">
      <alignment horizontal="center"/>
    </xf>
    <xf numFmtId="0" fontId="0" fillId="6" borderId="31" xfId="0" applyFill="1" applyBorder="1" applyAlignment="1">
      <alignment/>
    </xf>
    <xf numFmtId="0" fontId="1" fillId="6" borderId="0" xfId="0" applyFont="1" applyFill="1" applyBorder="1" applyAlignment="1">
      <alignment/>
    </xf>
    <xf numFmtId="178" fontId="0" fillId="6" borderId="31" xfId="0" applyNumberFormat="1" applyFill="1" applyBorder="1" applyAlignment="1">
      <alignment/>
    </xf>
    <xf numFmtId="185" fontId="0" fillId="6" borderId="31" xfId="0" applyNumberFormat="1" applyFill="1" applyBorder="1" applyAlignment="1">
      <alignment/>
    </xf>
    <xf numFmtId="179" fontId="0" fillId="6" borderId="31" xfId="0" applyNumberFormat="1" applyFill="1" applyBorder="1" applyAlignment="1">
      <alignment/>
    </xf>
    <xf numFmtId="0" fontId="0" fillId="6" borderId="32" xfId="0" applyFill="1" applyBorder="1" applyAlignment="1">
      <alignment/>
    </xf>
    <xf numFmtId="0" fontId="0" fillId="6" borderId="33" xfId="0" applyFill="1" applyBorder="1" applyAlignment="1">
      <alignment/>
    </xf>
    <xf numFmtId="0" fontId="0" fillId="6" borderId="34" xfId="0" applyFill="1" applyBorder="1" applyAlignment="1">
      <alignment/>
    </xf>
    <xf numFmtId="0" fontId="0" fillId="6" borderId="35" xfId="0" applyFill="1" applyBorder="1" applyAlignment="1">
      <alignment/>
    </xf>
    <xf numFmtId="178" fontId="0" fillId="4" borderId="36" xfId="0" applyNumberFormat="1" applyFill="1" applyBorder="1" applyAlignment="1">
      <alignment/>
    </xf>
    <xf numFmtId="185" fontId="0" fillId="4" borderId="36" xfId="0" applyNumberFormat="1" applyFill="1" applyBorder="1" applyAlignment="1">
      <alignment/>
    </xf>
    <xf numFmtId="179" fontId="0" fillId="4" borderId="36" xfId="0" applyNumberFormat="1" applyFill="1" applyBorder="1" applyAlignment="1">
      <alignment/>
    </xf>
    <xf numFmtId="179" fontId="0" fillId="4" borderId="31" xfId="0" applyNumberFormat="1" applyFill="1" applyBorder="1" applyAlignment="1">
      <alignment/>
    </xf>
    <xf numFmtId="181" fontId="0" fillId="4" borderId="31" xfId="0" applyNumberFormat="1" applyFill="1" applyBorder="1" applyAlignment="1">
      <alignment/>
    </xf>
    <xf numFmtId="2" fontId="0" fillId="4" borderId="31" xfId="0" applyNumberFormat="1" applyFill="1" applyBorder="1" applyAlignment="1">
      <alignment/>
    </xf>
    <xf numFmtId="1" fontId="0" fillId="4" borderId="37" xfId="0" applyNumberFormat="1" applyFill="1" applyBorder="1" applyAlignment="1">
      <alignment/>
    </xf>
    <xf numFmtId="179" fontId="0" fillId="4" borderId="37" xfId="0" applyNumberFormat="1" applyFill="1" applyBorder="1" applyAlignment="1">
      <alignment/>
    </xf>
    <xf numFmtId="181" fontId="0" fillId="4" borderId="37" xfId="0" applyNumberFormat="1" applyFill="1" applyBorder="1" applyAlignment="1">
      <alignment/>
    </xf>
    <xf numFmtId="2" fontId="0" fillId="4" borderId="37" xfId="0" applyNumberFormat="1" applyFill="1" applyBorder="1" applyAlignment="1">
      <alignment/>
    </xf>
    <xf numFmtId="179" fontId="0" fillId="4" borderId="38" xfId="0" applyNumberFormat="1" applyFill="1" applyBorder="1" applyAlignment="1">
      <alignment/>
    </xf>
    <xf numFmtId="181" fontId="0" fillId="4" borderId="38" xfId="0" applyNumberFormat="1" applyFill="1" applyBorder="1" applyAlignment="1">
      <alignment/>
    </xf>
    <xf numFmtId="0" fontId="25" fillId="0" borderId="0" xfId="0" applyFont="1" applyFill="1" applyBorder="1" applyAlignment="1">
      <alignment/>
    </xf>
    <xf numFmtId="0" fontId="38" fillId="0" borderId="0" xfId="0" applyFont="1" applyFill="1" applyBorder="1" applyAlignment="1">
      <alignment horizontal="center"/>
    </xf>
    <xf numFmtId="0" fontId="39" fillId="0" borderId="0" xfId="0" applyFont="1" applyFill="1" applyBorder="1" applyAlignment="1">
      <alignment/>
    </xf>
    <xf numFmtId="180" fontId="0" fillId="3" borderId="0" xfId="0" applyNumberFormat="1" applyFill="1" applyBorder="1" applyAlignment="1">
      <alignment horizontal="left"/>
    </xf>
    <xf numFmtId="1" fontId="1" fillId="3" borderId="0" xfId="0" applyNumberFormat="1" applyFont="1" applyFill="1" applyBorder="1" applyAlignment="1">
      <alignment horizontal="left"/>
    </xf>
    <xf numFmtId="0" fontId="0" fillId="3" borderId="0" xfId="0" applyFill="1" applyAlignment="1">
      <alignment/>
    </xf>
    <xf numFmtId="0" fontId="13" fillId="3" borderId="0" xfId="0" applyFont="1" applyFill="1" applyAlignment="1">
      <alignment/>
    </xf>
    <xf numFmtId="2" fontId="13" fillId="4" borderId="5" xfId="0" applyNumberFormat="1" applyFont="1" applyFill="1" applyBorder="1" applyAlignment="1">
      <alignment/>
    </xf>
    <xf numFmtId="179" fontId="13" fillId="4" borderId="5" xfId="0" applyNumberFormat="1" applyFont="1" applyFill="1" applyBorder="1" applyAlignment="1">
      <alignment/>
    </xf>
    <xf numFmtId="1" fontId="13" fillId="4" borderId="5" xfId="0" applyNumberFormat="1" applyFont="1" applyFill="1" applyBorder="1" applyAlignment="1">
      <alignment/>
    </xf>
    <xf numFmtId="0" fontId="13" fillId="3" borderId="0" xfId="0" applyFont="1" applyFill="1" applyBorder="1" applyAlignment="1">
      <alignment horizontal="left"/>
    </xf>
    <xf numFmtId="0" fontId="13" fillId="3" borderId="0" xfId="0" applyFont="1" applyFill="1" applyBorder="1" applyAlignment="1">
      <alignment horizontal="center"/>
    </xf>
    <xf numFmtId="0" fontId="40" fillId="3" borderId="0" xfId="0" applyFont="1" applyFill="1" applyBorder="1" applyAlignment="1">
      <alignment horizontal="center"/>
    </xf>
    <xf numFmtId="0" fontId="0" fillId="3" borderId="0" xfId="0" applyFill="1" applyBorder="1" applyAlignment="1">
      <alignment horizontal="left"/>
    </xf>
    <xf numFmtId="0" fontId="13" fillId="3" borderId="39" xfId="0" applyFont="1" applyFill="1" applyBorder="1" applyAlignment="1">
      <alignment/>
    </xf>
    <xf numFmtId="0" fontId="1" fillId="3" borderId="39" xfId="0" applyFont="1" applyFill="1" applyBorder="1" applyAlignment="1">
      <alignment horizontal="left"/>
    </xf>
    <xf numFmtId="2" fontId="13" fillId="4" borderId="5" xfId="0" applyNumberFormat="1" applyFont="1" applyFill="1" applyBorder="1" applyAlignment="1">
      <alignment horizontal="right"/>
    </xf>
    <xf numFmtId="0" fontId="25" fillId="0" borderId="0" xfId="0" applyFont="1" applyFill="1" applyAlignment="1">
      <alignment/>
    </xf>
    <xf numFmtId="2" fontId="25" fillId="0" borderId="0" xfId="0" applyNumberFormat="1" applyFont="1" applyFill="1" applyAlignment="1">
      <alignment/>
    </xf>
    <xf numFmtId="0" fontId="41" fillId="0" borderId="0" xfId="0" applyFont="1" applyAlignment="1">
      <alignment/>
    </xf>
    <xf numFmtId="0" fontId="14" fillId="0" borderId="0" xfId="0" applyFont="1" applyAlignment="1">
      <alignment/>
    </xf>
    <xf numFmtId="0" fontId="0" fillId="4" borderId="5" xfId="0" applyFill="1" applyBorder="1" applyAlignment="1" applyProtection="1">
      <alignment horizontal="center"/>
      <protection locked="0"/>
    </xf>
    <xf numFmtId="0" fontId="0" fillId="6" borderId="0" xfId="0" applyFill="1" applyBorder="1" applyAlignment="1" applyProtection="1">
      <alignment/>
      <protection locked="0"/>
    </xf>
    <xf numFmtId="0" fontId="1" fillId="6" borderId="0" xfId="0" applyFont="1" applyFill="1" applyBorder="1" applyAlignment="1" applyProtection="1">
      <alignment horizontal="center"/>
      <protection locked="0"/>
    </xf>
    <xf numFmtId="185" fontId="0" fillId="5" borderId="5" xfId="0" applyNumberFormat="1" applyFill="1" applyBorder="1" applyAlignment="1" applyProtection="1">
      <alignment/>
      <protection locked="0"/>
    </xf>
    <xf numFmtId="185" fontId="0" fillId="5" borderId="40" xfId="0" applyNumberFormat="1" applyFill="1" applyBorder="1" applyAlignment="1" applyProtection="1">
      <alignment/>
      <protection locked="0"/>
    </xf>
    <xf numFmtId="179" fontId="13" fillId="5" borderId="5" xfId="0" applyNumberFormat="1" applyFont="1" applyFill="1" applyBorder="1" applyAlignment="1" applyProtection="1">
      <alignment/>
      <protection locked="0"/>
    </xf>
    <xf numFmtId="179" fontId="13" fillId="5" borderId="40" xfId="0" applyNumberFormat="1" applyFont="1" applyFill="1" applyBorder="1" applyAlignment="1" applyProtection="1">
      <alignment/>
      <protection locked="0"/>
    </xf>
    <xf numFmtId="180" fontId="13" fillId="5" borderId="5" xfId="0" applyNumberFormat="1" applyFont="1" applyFill="1" applyBorder="1" applyAlignment="1" applyProtection="1">
      <alignment/>
      <protection locked="0"/>
    </xf>
    <xf numFmtId="180" fontId="13" fillId="5" borderId="40" xfId="0" applyNumberFormat="1" applyFont="1" applyFill="1" applyBorder="1" applyAlignment="1" applyProtection="1">
      <alignment/>
      <protection locked="0"/>
    </xf>
    <xf numFmtId="1" fontId="13" fillId="5" borderId="5" xfId="0" applyNumberFormat="1" applyFont="1" applyFill="1" applyBorder="1" applyAlignment="1" applyProtection="1">
      <alignment/>
      <protection locked="0"/>
    </xf>
    <xf numFmtId="1" fontId="13" fillId="5" borderId="40" xfId="0" applyNumberFormat="1" applyFont="1" applyFill="1" applyBorder="1" applyAlignment="1" applyProtection="1">
      <alignment/>
      <protection locked="0"/>
    </xf>
    <xf numFmtId="185" fontId="13" fillId="5" borderId="5" xfId="0" applyNumberFormat="1" applyFont="1" applyFill="1" applyBorder="1" applyAlignment="1" applyProtection="1">
      <alignment/>
      <protection locked="0"/>
    </xf>
    <xf numFmtId="185" fontId="13" fillId="5" borderId="40" xfId="0" applyNumberFormat="1" applyFont="1" applyFill="1" applyBorder="1" applyAlignment="1" applyProtection="1">
      <alignment/>
      <protection locked="0"/>
    </xf>
    <xf numFmtId="0" fontId="13" fillId="6" borderId="0" xfId="0" applyFont="1" applyFill="1" applyBorder="1" applyAlignment="1" applyProtection="1">
      <alignment/>
      <protection locked="0"/>
    </xf>
    <xf numFmtId="178" fontId="13" fillId="5" borderId="5" xfId="0" applyNumberFormat="1" applyFont="1" applyFill="1" applyBorder="1" applyAlignment="1" applyProtection="1">
      <alignment/>
      <protection locked="0"/>
    </xf>
    <xf numFmtId="178" fontId="13" fillId="5" borderId="40" xfId="0" applyNumberFormat="1" applyFont="1" applyFill="1" applyBorder="1" applyAlignment="1" applyProtection="1">
      <alignment/>
      <protection locked="0"/>
    </xf>
    <xf numFmtId="2" fontId="1" fillId="2" borderId="3" xfId="0" applyNumberFormat="1" applyFont="1" applyFill="1" applyBorder="1" applyAlignment="1" applyProtection="1">
      <alignment/>
      <protection locked="0"/>
    </xf>
    <xf numFmtId="0" fontId="0" fillId="0" borderId="1" xfId="0" applyFont="1" applyBorder="1" applyAlignment="1">
      <alignment horizontal="left"/>
    </xf>
    <xf numFmtId="0" fontId="0" fillId="0" borderId="1" xfId="0" applyFont="1" applyBorder="1" applyAlignment="1">
      <alignment/>
    </xf>
    <xf numFmtId="2" fontId="0" fillId="0" borderId="1" xfId="0" applyNumberFormat="1" applyFont="1" applyBorder="1" applyAlignment="1">
      <alignment/>
    </xf>
    <xf numFmtId="180" fontId="0" fillId="0" borderId="1" xfId="0" applyNumberFormat="1" applyFont="1" applyBorder="1" applyAlignment="1">
      <alignment/>
    </xf>
    <xf numFmtId="180" fontId="0" fillId="0" borderId="1" xfId="0" applyNumberFormat="1" applyFont="1" applyBorder="1" applyAlignment="1">
      <alignment horizontal="left"/>
    </xf>
    <xf numFmtId="0" fontId="0" fillId="5" borderId="5" xfId="0" applyFill="1" applyBorder="1" applyAlignment="1" applyProtection="1">
      <alignment horizontal="center"/>
      <protection locked="0"/>
    </xf>
    <xf numFmtId="2" fontId="13" fillId="5" borderId="5" xfId="0" applyNumberFormat="1" applyFont="1" applyFill="1" applyBorder="1" applyAlignment="1" applyProtection="1">
      <alignment/>
      <protection locked="0"/>
    </xf>
    <xf numFmtId="2" fontId="13" fillId="5" borderId="5" xfId="0" applyNumberFormat="1" applyFont="1" applyFill="1" applyBorder="1" applyAlignment="1" applyProtection="1">
      <alignment horizontal="right"/>
      <protection locked="0"/>
    </xf>
    <xf numFmtId="180" fontId="0" fillId="5" borderId="5" xfId="0" applyNumberFormat="1" applyFill="1" applyBorder="1" applyAlignment="1" applyProtection="1">
      <alignment/>
      <protection locked="0"/>
    </xf>
    <xf numFmtId="1" fontId="1" fillId="5" borderId="5" xfId="0" applyNumberFormat="1" applyFont="1" applyFill="1" applyBorder="1" applyAlignment="1" applyProtection="1">
      <alignment/>
      <protection locked="0"/>
    </xf>
    <xf numFmtId="180" fontId="0" fillId="5" borderId="5" xfId="0" applyNumberFormat="1" applyFill="1" applyBorder="1" applyAlignment="1" applyProtection="1">
      <alignment horizontal="right"/>
      <protection locked="0"/>
    </xf>
    <xf numFmtId="2" fontId="0" fillId="5" borderId="5" xfId="0" applyNumberFormat="1" applyFill="1" applyBorder="1" applyAlignment="1" applyProtection="1">
      <alignment horizontal="right"/>
      <protection locked="0"/>
    </xf>
    <xf numFmtId="2" fontId="0" fillId="5" borderId="23" xfId="0" applyNumberFormat="1" applyFill="1" applyBorder="1" applyAlignment="1" applyProtection="1">
      <alignment/>
      <protection locked="0"/>
    </xf>
    <xf numFmtId="0" fontId="0" fillId="5" borderId="40" xfId="0" applyFill="1" applyBorder="1" applyAlignment="1" applyProtection="1">
      <alignment/>
      <protection locked="0"/>
    </xf>
    <xf numFmtId="0" fontId="0" fillId="4" borderId="5" xfId="0" applyFill="1" applyBorder="1" applyAlignment="1">
      <alignment/>
    </xf>
    <xf numFmtId="0" fontId="0" fillId="5" borderId="5" xfId="0" applyFill="1" applyBorder="1" applyAlignment="1" applyProtection="1">
      <alignment/>
      <protection locked="0"/>
    </xf>
    <xf numFmtId="0" fontId="0" fillId="5" borderId="41" xfId="0" applyFill="1" applyBorder="1" applyAlignment="1" applyProtection="1">
      <alignment/>
      <protection locked="0"/>
    </xf>
    <xf numFmtId="0" fontId="19" fillId="3" borderId="0" xfId="0" applyFont="1" applyFill="1" applyBorder="1" applyAlignment="1">
      <alignment horizontal="center" vertical="center"/>
    </xf>
    <xf numFmtId="0" fontId="26" fillId="7" borderId="42" xfId="0" applyFont="1" applyFill="1" applyBorder="1" applyAlignment="1">
      <alignment horizontal="center"/>
    </xf>
    <xf numFmtId="0" fontId="27" fillId="7" borderId="43" xfId="0" applyFont="1" applyFill="1" applyBorder="1" applyAlignment="1">
      <alignment horizontal="center"/>
    </xf>
    <xf numFmtId="0" fontId="27" fillId="7" borderId="44" xfId="0" applyFont="1" applyFill="1" applyBorder="1" applyAlignment="1">
      <alignment horizontal="center"/>
    </xf>
    <xf numFmtId="0" fontId="19" fillId="6" borderId="0"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9"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0" fillId="5" borderId="15" xfId="0" applyFill="1" applyBorder="1" applyAlignment="1" applyProtection="1">
      <alignment horizontal="left"/>
      <protection locked="0"/>
    </xf>
    <xf numFmtId="0" fontId="0" fillId="5" borderId="16" xfId="0" applyFill="1" applyBorder="1" applyAlignment="1" applyProtection="1">
      <alignment horizontal="left"/>
      <protection locked="0"/>
    </xf>
    <xf numFmtId="0" fontId="0" fillId="5" borderId="1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8" xfId="0" applyFill="1" applyBorder="1" applyAlignment="1" applyProtection="1">
      <alignment horizontal="left"/>
      <protection locked="0"/>
    </xf>
    <xf numFmtId="0" fontId="1" fillId="3" borderId="29" xfId="0" applyFont="1" applyFill="1" applyBorder="1" applyAlignment="1">
      <alignment horizontal="center" vertical="center"/>
    </xf>
    <xf numFmtId="0" fontId="1" fillId="3" borderId="19" xfId="0" applyFont="1" applyFill="1" applyBorder="1" applyAlignment="1">
      <alignment horizontal="center" vertical="center"/>
    </xf>
    <xf numFmtId="180" fontId="40" fillId="3" borderId="1" xfId="0" applyNumberFormat="1" applyFont="1" applyFill="1" applyBorder="1" applyAlignment="1">
      <alignment horizontal="center"/>
    </xf>
    <xf numFmtId="0" fontId="13" fillId="3" borderId="2" xfId="0" applyFont="1" applyFill="1" applyBorder="1" applyAlignment="1">
      <alignment horizontal="center"/>
    </xf>
    <xf numFmtId="0" fontId="0" fillId="3" borderId="0" xfId="0" applyFill="1" applyBorder="1" applyAlignment="1">
      <alignment horizontal="center"/>
    </xf>
    <xf numFmtId="2" fontId="13" fillId="5" borderId="40" xfId="0" applyNumberFormat="1" applyFont="1" applyFill="1" applyBorder="1" applyAlignment="1" applyProtection="1">
      <alignment horizontal="center"/>
      <protection locked="0"/>
    </xf>
    <xf numFmtId="2" fontId="13" fillId="5" borderId="48" xfId="0" applyNumberFormat="1" applyFont="1" applyFill="1" applyBorder="1" applyAlignment="1" applyProtection="1">
      <alignment horizontal="center"/>
      <protection locked="0"/>
    </xf>
    <xf numFmtId="0" fontId="0" fillId="0" borderId="0" xfId="0" applyFont="1" applyAlignment="1">
      <alignment horizontal="center"/>
    </xf>
    <xf numFmtId="0" fontId="0" fillId="0" borderId="1" xfId="0" applyBorder="1" applyAlignment="1">
      <alignment horizontal="center"/>
    </xf>
    <xf numFmtId="0" fontId="1" fillId="0" borderId="0" xfId="0" applyFont="1" applyFill="1" applyAlignment="1">
      <alignment horizontal="center"/>
    </xf>
    <xf numFmtId="0" fontId="6"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1" fontId="0" fillId="0" borderId="1" xfId="0" applyNumberFormat="1" applyBorder="1" applyAlignment="1">
      <alignment horizontal="right"/>
    </xf>
    <xf numFmtId="186" fontId="0" fillId="0" borderId="0" xfId="0" applyNumberFormat="1" applyBorder="1" applyAlignment="1">
      <alignment horizontal="right"/>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185" fontId="0" fillId="0" borderId="0" xfId="0" applyNumberFormat="1" applyBorder="1" applyAlignment="1">
      <alignment horizontal="right"/>
    </xf>
    <xf numFmtId="179" fontId="0" fillId="0" borderId="0" xfId="0" applyNumberFormat="1" applyAlignment="1">
      <alignment horizontal="right"/>
    </xf>
    <xf numFmtId="0" fontId="0" fillId="5" borderId="5" xfId="0" applyFill="1" applyBorder="1" applyAlignment="1" applyProtection="1">
      <alignment horizontal="right"/>
      <protection locked="0"/>
    </xf>
    <xf numFmtId="179" fontId="13" fillId="8" borderId="5" xfId="0" applyNumberFormat="1" applyFont="1" applyFill="1" applyBorder="1" applyAlignment="1" applyProtection="1">
      <alignment/>
      <protection locked="0"/>
    </xf>
    <xf numFmtId="180" fontId="13" fillId="8" borderId="5" xfId="0" applyNumberFormat="1" applyFont="1" applyFill="1" applyBorder="1" applyAlignment="1" applyProtection="1">
      <alignment/>
      <protection locked="0"/>
    </xf>
    <xf numFmtId="186" fontId="13" fillId="8" borderId="5"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15"/>
          <c:y val="0.014"/>
          <c:w val="0.942"/>
          <c:h val="0.93625"/>
        </c:manualLayout>
      </c:layout>
      <c:scatterChart>
        <c:scatterStyle val="smoothMarker"/>
        <c:varyColors val="0"/>
        <c:ser>
          <c:idx val="0"/>
          <c:order val="0"/>
          <c:tx>
            <c:v>Feed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00"/>
              </a:solidFill>
              <a:ln>
                <a:solidFill>
                  <a:srgbClr val="000080"/>
                </a:solidFill>
              </a:ln>
            </c:spPr>
          </c:marker>
          <c:xVal>
            <c:numRef>
              <c:f>Data_File!$E$24:$E$43</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Data_File!$H$24:$H$43</c:f>
              <c:numCache>
                <c:ptCount val="20"/>
                <c:pt idx="0">
                  <c:v>100</c:v>
                </c:pt>
                <c:pt idx="1">
                  <c:v>98.58575106686338</c:v>
                </c:pt>
                <c:pt idx="2">
                  <c:v>96.90977585150388</c:v>
                </c:pt>
                <c:pt idx="3">
                  <c:v>94.49221918281748</c:v>
                </c:pt>
                <c:pt idx="4">
                  <c:v>92.22272973812872</c:v>
                </c:pt>
                <c:pt idx="5">
                  <c:v>89.21671465395755</c:v>
                </c:pt>
                <c:pt idx="6">
                  <c:v>85.79148081959593</c:v>
                </c:pt>
                <c:pt idx="7">
                  <c:v>82.26959926325253</c:v>
                </c:pt>
                <c:pt idx="8">
                  <c:v>77.37291523000093</c:v>
                </c:pt>
                <c:pt idx="9">
                  <c:v>71.15464730703819</c:v>
                </c:pt>
                <c:pt idx="10">
                  <c:v>62.55741292822534</c:v>
                </c:pt>
                <c:pt idx="11">
                  <c:v>49.55256856384086</c:v>
                </c:pt>
                <c:pt idx="12">
                  <c:v>35.54385167607507</c:v>
                </c:pt>
                <c:pt idx="13">
                  <c:v>22.988238827028596</c:v>
                </c:pt>
                <c:pt idx="14">
                  <c:v>15.058769498208942</c:v>
                </c:pt>
                <c:pt idx="15">
                  <c:v>9.655578135505511</c:v>
                </c:pt>
                <c:pt idx="16">
                  <c:v>6.283723256251334</c:v>
                </c:pt>
                <c:pt idx="17">
                  <c:v>4.123560549152068</c:v>
                </c:pt>
                <c:pt idx="18">
                  <c:v>3.4343809925028257</c:v>
                </c:pt>
                <c:pt idx="19">
                  <c:v>2.9738531115231286</c:v>
                </c:pt>
              </c:numCache>
            </c:numRef>
          </c:yVal>
          <c:smooth val="1"/>
        </c:ser>
        <c:ser>
          <c:idx val="1"/>
          <c:order val="1"/>
          <c:tx>
            <c:v>Discharge (Exp.)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Data_File!$E$24:$E$43</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Data_File!$J$24:$J$43</c:f>
              <c:numCache>
                <c:ptCount val="20"/>
                <c:pt idx="0">
                  <c:v>100</c:v>
                </c:pt>
                <c:pt idx="1">
                  <c:v>99.42216516329768</c:v>
                </c:pt>
                <c:pt idx="2">
                  <c:v>98.67172320941333</c:v>
                </c:pt>
                <c:pt idx="3">
                  <c:v>97.40249226705004</c:v>
                </c:pt>
                <c:pt idx="4">
                  <c:v>95.9265096322928</c:v>
                </c:pt>
                <c:pt idx="5">
                  <c:v>94.2247581697786</c:v>
                </c:pt>
                <c:pt idx="6">
                  <c:v>92.23037025981343</c:v>
                </c:pt>
                <c:pt idx="7">
                  <c:v>90.22308727955364</c:v>
                </c:pt>
                <c:pt idx="8">
                  <c:v>87.26702531242921</c:v>
                </c:pt>
                <c:pt idx="9">
                  <c:v>82.81452772818396</c:v>
                </c:pt>
                <c:pt idx="10">
                  <c:v>76.13865222260746</c:v>
                </c:pt>
                <c:pt idx="11">
                  <c:v>64.56762283018801</c:v>
                </c:pt>
                <c:pt idx="12">
                  <c:v>50.48343246472278</c:v>
                </c:pt>
                <c:pt idx="13">
                  <c:v>36.41155850886355</c:v>
                </c:pt>
                <c:pt idx="14">
                  <c:v>26.944894283967052</c:v>
                </c:pt>
                <c:pt idx="15">
                  <c:v>19.602042881216516</c:v>
                </c:pt>
                <c:pt idx="16">
                  <c:v>14.764027005146215</c:v>
                </c:pt>
                <c:pt idx="17">
                  <c:v>11.154242791601074</c:v>
                </c:pt>
                <c:pt idx="18">
                  <c:v>9.909562816948414</c:v>
                </c:pt>
                <c:pt idx="19">
                  <c:v>8.81121461679012</c:v>
                </c:pt>
              </c:numCache>
            </c:numRef>
          </c:yVal>
          <c:smooth val="1"/>
        </c:ser>
        <c:ser>
          <c:idx val="2"/>
          <c:order val="2"/>
          <c:tx>
            <c:v>Discharge (Adjusted)</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Data_File!$E$24:$E$43</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Data_File!$L$24:$L$43</c:f>
              <c:numCache>
                <c:ptCount val="20"/>
                <c:pt idx="0">
                  <c:v>100.00000000000006</c:v>
                </c:pt>
                <c:pt idx="1">
                  <c:v>98.91314082607765</c:v>
                </c:pt>
                <c:pt idx="2">
                  <c:v>97.88488797810051</c:v>
                </c:pt>
                <c:pt idx="3">
                  <c:v>96.83339748988864</c:v>
                </c:pt>
                <c:pt idx="4">
                  <c:v>95.9890198799469</c:v>
                </c:pt>
                <c:pt idx="5">
                  <c:v>94.83442723851367</c:v>
                </c:pt>
                <c:pt idx="6">
                  <c:v>93.15410983821695</c:v>
                </c:pt>
                <c:pt idx="7">
                  <c:v>90.86822568971839</c:v>
                </c:pt>
                <c:pt idx="8">
                  <c:v>87.30238722056899</c:v>
                </c:pt>
                <c:pt idx="9">
                  <c:v>82.35662536401357</c:v>
                </c:pt>
                <c:pt idx="10">
                  <c:v>75.04163185528678</c:v>
                </c:pt>
                <c:pt idx="11">
                  <c:v>63.783574836362476</c:v>
                </c:pt>
                <c:pt idx="12">
                  <c:v>50.23281795325002</c:v>
                </c:pt>
                <c:pt idx="13">
                  <c:v>36.8345187454931</c:v>
                </c:pt>
                <c:pt idx="14">
                  <c:v>26.971150045144714</c:v>
                </c:pt>
                <c:pt idx="15">
                  <c:v>19.710141059830228</c:v>
                </c:pt>
                <c:pt idx="16">
                  <c:v>14.709580873969628</c:v>
                </c:pt>
                <c:pt idx="17">
                  <c:v>11.19214024448694</c:v>
                </c:pt>
                <c:pt idx="18">
                  <c:v>9.846506773310477</c:v>
                </c:pt>
                <c:pt idx="19">
                  <c:v>8.843054351395782</c:v>
                </c:pt>
              </c:numCache>
            </c:numRef>
          </c:yVal>
          <c:smooth val="1"/>
        </c:ser>
        <c:ser>
          <c:idx val="3"/>
          <c:order val="3"/>
          <c:tx>
            <c:v>SiE * 10</c:v>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336666"/>
                </a:solidFill>
              </a:ln>
            </c:spPr>
          </c:marker>
          <c:xVal>
            <c:numRef>
              <c:f>Model!$D$11:$D$29</c:f>
              <c:numCache>
                <c:ptCount val="19"/>
                <c:pt idx="0">
                  <c:v>15554.259866673181</c:v>
                </c:pt>
                <c:pt idx="1">
                  <c:v>10984.079387914127</c:v>
                </c:pt>
                <c:pt idx="2">
                  <c:v>7766.917020285462</c:v>
                </c:pt>
                <c:pt idx="3">
                  <c:v>5492.039693957064</c:v>
                </c:pt>
                <c:pt idx="4">
                  <c:v>3989.047505357639</c:v>
                </c:pt>
                <c:pt idx="5">
                  <c:v>2811.761014026619</c:v>
                </c:pt>
                <c:pt idx="6">
                  <c:v>2002.9977533686852</c:v>
                </c:pt>
                <c:pt idx="7">
                  <c:v>1416.333294108417</c:v>
                </c:pt>
                <c:pt idx="8">
                  <c:v>1001.4988766843426</c:v>
                </c:pt>
                <c:pt idx="9">
                  <c:v>714.142842854285</c:v>
                </c:pt>
                <c:pt idx="10">
                  <c:v>504.9752469181039</c:v>
                </c:pt>
                <c:pt idx="11">
                  <c:v>357.0714214271425</c:v>
                </c:pt>
                <c:pt idx="12">
                  <c:v>252.19040425836982</c:v>
                </c:pt>
                <c:pt idx="13">
                  <c:v>178.3255450012701</c:v>
                </c:pt>
                <c:pt idx="14">
                  <c:v>126.09520212918491</c:v>
                </c:pt>
                <c:pt idx="15">
                  <c:v>89.16277250063504</c:v>
                </c:pt>
                <c:pt idx="16">
                  <c:v>63.047601064592456</c:v>
                </c:pt>
                <c:pt idx="17">
                  <c:v>48.29078587059855</c:v>
                </c:pt>
                <c:pt idx="18">
                  <c:v>40.34848200366403</c:v>
                </c:pt>
              </c:numCache>
            </c:numRef>
          </c:xVal>
          <c:yVal>
            <c:numRef>
              <c:f>Model!$BF$11:$BF$29</c:f>
              <c:numCache>
                <c:ptCount val="19"/>
                <c:pt idx="0">
                  <c:v>2.3555643522238645</c:v>
                </c:pt>
                <c:pt idx="1">
                  <c:v>5.5461576603757345</c:v>
                </c:pt>
                <c:pt idx="2">
                  <c:v>11.15587467932632</c:v>
                </c:pt>
                <c:pt idx="3">
                  <c:v>16.635588898631667</c:v>
                </c:pt>
                <c:pt idx="4">
                  <c:v>17.78396024033559</c:v>
                </c:pt>
                <c:pt idx="5">
                  <c:v>15.45800022598107</c:v>
                </c:pt>
                <c:pt idx="6">
                  <c:v>12.31880371423183</c:v>
                </c:pt>
                <c:pt idx="7">
                  <c:v>9.468333481285958</c:v>
                </c:pt>
                <c:pt idx="8">
                  <c:v>7.20604359781995</c:v>
                </c:pt>
                <c:pt idx="9">
                  <c:v>5.504841473052813</c:v>
                </c:pt>
                <c:pt idx="10">
                  <c:v>4.173500573255341</c:v>
                </c:pt>
                <c:pt idx="11">
                  <c:v>3.1632851096233865</c:v>
                </c:pt>
                <c:pt idx="12">
                  <c:v>2.39514582023863</c:v>
                </c:pt>
                <c:pt idx="13">
                  <c:v>1.8151994444628063</c:v>
                </c:pt>
                <c:pt idx="14">
                  <c:v>1.3756680681584479</c:v>
                </c:pt>
                <c:pt idx="15">
                  <c:v>1.042562371777074</c:v>
                </c:pt>
                <c:pt idx="16">
                  <c:v>0.7901147390983694</c:v>
                </c:pt>
                <c:pt idx="17">
                  <c:v>0.6383322083740729</c:v>
                </c:pt>
                <c:pt idx="18">
                  <c:v>0.5528624690550173</c:v>
                </c:pt>
              </c:numCache>
            </c:numRef>
          </c:yVal>
          <c:smooth val="1"/>
        </c:ser>
        <c:axId val="31182996"/>
        <c:axId val="42794709"/>
      </c:scatterChart>
      <c:valAx>
        <c:axId val="31182996"/>
        <c:scaling>
          <c:logBase val="10"/>
          <c:orientation val="minMax"/>
          <c:min val="10"/>
        </c:scaling>
        <c:axPos val="b"/>
        <c:title>
          <c:tx>
            <c:rich>
              <a:bodyPr vert="horz" rot="0" anchor="ctr"/>
              <a:lstStyle/>
              <a:p>
                <a:pPr algn="ctr">
                  <a:defRPr/>
                </a:pPr>
                <a:r>
                  <a:rPr lang="en-US" cap="none" sz="950" b="1" i="0" u="none" baseline="0">
                    <a:latin typeface="Arial"/>
                    <a:ea typeface="Arial"/>
                    <a:cs typeface="Arial"/>
                  </a:rPr>
                  <a:t>Particle Size, microns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2794709"/>
        <c:crosses val="autoZero"/>
        <c:crossBetween val="midCat"/>
        <c:dispUnits/>
      </c:valAx>
      <c:valAx>
        <c:axId val="42794709"/>
        <c:scaling>
          <c:logBase val="10"/>
          <c:orientation val="minMax"/>
          <c:max val="100"/>
          <c:min val="1"/>
        </c:scaling>
        <c:axPos val="l"/>
        <c:title>
          <c:tx>
            <c:rich>
              <a:bodyPr vert="horz" rot="-5400000" anchor="ctr"/>
              <a:lstStyle/>
              <a:p>
                <a:pPr algn="ctr">
                  <a:defRPr/>
                </a:pPr>
                <a:r>
                  <a:rPr lang="en-US" cap="none" sz="1000" b="1" i="0" u="none" baseline="0">
                    <a:latin typeface="Arial"/>
                    <a:ea typeface="Arial"/>
                    <a:cs typeface="Arial"/>
                  </a:rPr>
                  <a:t>% Passing</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182996"/>
        <c:crosses val="autoZero"/>
        <c:crossBetween val="midCat"/>
        <c:dispUnits/>
      </c:valAx>
      <c:spPr>
        <a:noFill/>
        <a:ln w="12700">
          <a:solidFill>
            <a:srgbClr val="808080"/>
          </a:solidFill>
        </a:ln>
      </c:spPr>
    </c:plotArea>
    <c:legend>
      <c:legendPos val="r"/>
      <c:layout>
        <c:manualLayout>
          <c:xMode val="edge"/>
          <c:yMode val="edge"/>
          <c:x val="0.66025"/>
          <c:y val="0.679"/>
          <c:w val="0.2395"/>
          <c:h val="0.13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152400</xdr:rowOff>
    </xdr:from>
    <xdr:to>
      <xdr:col>12</xdr:col>
      <xdr:colOff>0</xdr:colOff>
      <xdr:row>54</xdr:row>
      <xdr:rowOff>0</xdr:rowOff>
    </xdr:to>
    <xdr:sp>
      <xdr:nvSpPr>
        <xdr:cNvPr id="1" name="TextBox 2"/>
        <xdr:cNvSpPr txBox="1">
          <a:spLocks noChangeArrowheads="1"/>
        </xdr:cNvSpPr>
      </xdr:nvSpPr>
      <xdr:spPr>
        <a:xfrm>
          <a:off x="114300" y="476250"/>
          <a:ext cx="6705600" cy="8267700"/>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latin typeface="Arial"/>
              <a:ea typeface="Arial"/>
              <a:cs typeface="Arial"/>
            </a:rPr>
            <a:t>
The </a:t>
          </a:r>
          <a:r>
            <a:rPr lang="en-US" cap="none" sz="1000" b="1" i="0" u="none" baseline="0">
              <a:latin typeface="Arial"/>
              <a:ea typeface="Arial"/>
              <a:cs typeface="Arial"/>
            </a:rPr>
            <a:t>BallParam_Open</a:t>
          </a:r>
          <a:r>
            <a:rPr lang="en-US" cap="none" sz="1000" b="0" i="0" u="none" baseline="0">
              <a:latin typeface="Arial"/>
              <a:ea typeface="Arial"/>
              <a:cs typeface="Arial"/>
            </a:rPr>
            <a:t> spreadsheet was designed to be used - in conjunction with the Ball Mill Grinding Simulators </a:t>
          </a:r>
          <a:r>
            <a:rPr lang="en-US" cap="none" sz="1000" b="1" i="0" u="none" baseline="0">
              <a:latin typeface="Arial"/>
              <a:ea typeface="Arial"/>
              <a:cs typeface="Arial"/>
            </a:rPr>
            <a:t>BallSim_Direc</a:t>
          </a:r>
          <a:r>
            <a:rPr lang="en-US" cap="none" sz="1000" b="0" i="0" u="none" baseline="0">
              <a:latin typeface="Arial"/>
              <a:ea typeface="Arial"/>
              <a:cs typeface="Arial"/>
            </a:rPr>
            <a:t>t, </a:t>
          </a:r>
          <a:r>
            <a:rPr lang="en-US" cap="none" sz="1000" b="1" i="0" u="none" baseline="0">
              <a:latin typeface="Arial"/>
              <a:ea typeface="Arial"/>
              <a:cs typeface="Arial"/>
            </a:rPr>
            <a:t>BallSim_Reverse</a:t>
          </a:r>
          <a:r>
            <a:rPr lang="en-US" cap="none" sz="1000" b="0" i="0" u="none" baseline="0">
              <a:latin typeface="Arial"/>
              <a:ea typeface="Arial"/>
              <a:cs typeface="Arial"/>
            </a:rPr>
            <a:t> or </a:t>
          </a:r>
          <a:r>
            <a:rPr lang="en-US" cap="none" sz="1000" b="1" i="0" u="none" baseline="0">
              <a:latin typeface="Arial"/>
              <a:ea typeface="Arial"/>
              <a:cs typeface="Arial"/>
            </a:rPr>
            <a:t>BallSim_Dual</a:t>
          </a:r>
          <a:r>
            <a:rPr lang="en-US" cap="none" sz="1000" b="0" i="0" u="none" baseline="0">
              <a:latin typeface="Arial"/>
              <a:ea typeface="Arial"/>
              <a:cs typeface="Arial"/>
            </a:rPr>
            <a:t> - in the "tuning" of such simulators to any specific actual grinding system, via the estimation of the various </a:t>
          </a:r>
          <a:r>
            <a:rPr lang="en-US" cap="none" sz="1000" b="1" i="0" u="none" baseline="0">
              <a:latin typeface="Arial"/>
              <a:ea typeface="Arial"/>
              <a:cs typeface="Arial"/>
            </a:rPr>
            <a:t>Model Parameters</a:t>
          </a:r>
          <a:r>
            <a:rPr lang="en-US" cap="none" sz="1000" b="0" i="0" u="none" baseline="0">
              <a:latin typeface="Arial"/>
              <a:ea typeface="Arial"/>
              <a:cs typeface="Arial"/>
            </a:rPr>
            <a:t> that characterize the grindability of any given ore. In other words, the attached spreadsheets provide an effective algorithm to search for the set of parameter values that best approximate the model response to the actual experimental measurements available (</a:t>
          </a:r>
          <a:r>
            <a:rPr lang="en-US" cap="none" sz="1000" b="1" i="0" u="none" baseline="0">
              <a:latin typeface="Arial"/>
              <a:ea typeface="Arial"/>
              <a:cs typeface="Arial"/>
            </a:rPr>
            <a:t>obtained from Continuous, Pilot or Full Plant Scale Mills</a:t>
          </a:r>
          <a:r>
            <a:rPr lang="en-US" cap="none" sz="1000" b="0" i="0" u="none" baseline="0">
              <a:latin typeface="Arial"/>
              <a:ea typeface="Arial"/>
              <a:cs typeface="Arial"/>
            </a:rPr>
            <a:t>), based on a typical non-linear, least-squares criterion.
</a:t>
          </a:r>
          <a:r>
            <a:rPr lang="en-US" cap="none" sz="1000" b="1" i="0" u="none" baseline="0">
              <a:solidFill>
                <a:srgbClr val="000080"/>
              </a:solidFill>
              <a:latin typeface="Arial"/>
              <a:ea typeface="Arial"/>
              <a:cs typeface="Arial"/>
            </a:rPr>
            <a:t>Theoretical Framework :</a:t>
          </a:r>
          <a:r>
            <a:rPr lang="en-US" cap="none" sz="1000" b="0" i="0" u="none" baseline="0">
              <a:latin typeface="Arial"/>
              <a:ea typeface="Arial"/>
              <a:cs typeface="Arial"/>
            </a:rPr>
            <a:t>
The reference ball mill model is described with further details in the </a:t>
          </a:r>
          <a:r>
            <a:rPr lang="en-US" cap="none" sz="1000" b="1" i="0" u="none" baseline="0">
              <a:latin typeface="Arial"/>
              <a:ea typeface="Arial"/>
              <a:cs typeface="Arial"/>
            </a:rPr>
            <a:t>About ...</a:t>
          </a:r>
          <a:r>
            <a:rPr lang="en-US" cap="none" sz="1000" b="0" i="0" u="none" baseline="0">
              <a:latin typeface="Arial"/>
              <a:ea typeface="Arial"/>
              <a:cs typeface="Arial"/>
            </a:rPr>
            <a:t> worksheets of the </a:t>
          </a:r>
          <a:r>
            <a:rPr lang="en-US" cap="none" sz="1000" b="1" i="0" u="none" baseline="0">
              <a:latin typeface="Arial"/>
              <a:ea typeface="Arial"/>
              <a:cs typeface="Arial"/>
            </a:rPr>
            <a:t>BallSim_Direct</a:t>
          </a:r>
          <a:r>
            <a:rPr lang="en-US" cap="none" sz="1000" b="0" i="0" u="none" baseline="0">
              <a:latin typeface="Arial"/>
              <a:ea typeface="Arial"/>
              <a:cs typeface="Arial"/>
            </a:rPr>
            <a:t>, </a:t>
          </a:r>
          <a:r>
            <a:rPr lang="en-US" cap="none" sz="1000" b="1" i="0" u="none" baseline="0">
              <a:latin typeface="Arial"/>
              <a:ea typeface="Arial"/>
              <a:cs typeface="Arial"/>
            </a:rPr>
            <a:t>BallSim_Reverse</a:t>
          </a:r>
          <a:r>
            <a:rPr lang="en-US" cap="none" sz="1000" b="0" i="0" u="none" baseline="0">
              <a:latin typeface="Arial"/>
              <a:ea typeface="Arial"/>
              <a:cs typeface="Arial"/>
            </a:rPr>
            <a:t> or </a:t>
          </a:r>
          <a:r>
            <a:rPr lang="en-US" cap="none" sz="1000" b="1" i="0" u="none" baseline="0">
              <a:latin typeface="Arial"/>
              <a:ea typeface="Arial"/>
              <a:cs typeface="Arial"/>
            </a:rPr>
            <a:t>BallSim_Dual </a:t>
          </a:r>
          <a:r>
            <a:rPr lang="en-US" cap="none" sz="1000" b="0" i="0" u="none" baseline="0">
              <a:latin typeface="Arial"/>
              <a:ea typeface="Arial"/>
              <a:cs typeface="Arial"/>
            </a:rPr>
            <a:t>files</a:t>
          </a:r>
          <a:r>
            <a:rPr lang="en-US" cap="none" sz="1000" b="0" i="0" u="none" baseline="0">
              <a:latin typeface="Arial"/>
              <a:ea typeface="Arial"/>
              <a:cs typeface="Arial"/>
            </a:rPr>
            <a:t>.
Such model is based on the so called </a:t>
          </a:r>
          <a:r>
            <a:rPr lang="en-US" cap="none" sz="1000" b="1" i="0" u="none" baseline="0">
              <a:latin typeface="Arial"/>
              <a:ea typeface="Arial"/>
              <a:cs typeface="Arial"/>
            </a:rPr>
            <a:t>Modern Theory of Comminution</a:t>
          </a:r>
          <a:r>
            <a:rPr lang="en-US" cap="none" sz="1000" b="0" i="0" u="none" baseline="0">
              <a:latin typeface="Arial"/>
              <a:ea typeface="Arial"/>
              <a:cs typeface="Arial"/>
            </a:rPr>
            <a:t>. This theory introduced two new sets of parameters : the </a:t>
          </a:r>
          <a:r>
            <a:rPr lang="en-US" cap="none" sz="1000" b="1" i="0" u="none" baseline="0">
              <a:latin typeface="Arial"/>
              <a:ea typeface="Arial"/>
              <a:cs typeface="Arial"/>
            </a:rPr>
            <a:t>Selection Function S</a:t>
          </a:r>
          <a:r>
            <a:rPr lang="en-US" cap="none" sz="1000" b="0" i="0" u="none" baseline="0">
              <a:latin typeface="Arial"/>
              <a:ea typeface="Arial"/>
              <a:cs typeface="Arial"/>
            </a:rPr>
            <a:t> and the </a:t>
          </a:r>
          <a:r>
            <a:rPr lang="en-US" cap="none" sz="1000" b="1" i="0" u="none" baseline="0">
              <a:latin typeface="Arial"/>
              <a:ea typeface="Arial"/>
              <a:cs typeface="Arial"/>
            </a:rPr>
            <a:t>Breakage Function B</a:t>
          </a:r>
          <a:r>
            <a:rPr lang="en-US" cap="none" sz="1000" b="0" i="0" u="none" baseline="0">
              <a:latin typeface="Arial"/>
              <a:ea typeface="Arial"/>
              <a:cs typeface="Arial"/>
            </a:rPr>
            <a:t>. The first set – also referred to as </a:t>
          </a:r>
          <a:r>
            <a:rPr lang="en-US" cap="none" sz="1000" b="1" i="0" u="none" baseline="0">
              <a:latin typeface="Arial"/>
              <a:ea typeface="Arial"/>
              <a:cs typeface="Arial"/>
            </a:rPr>
            <a:t>Grindability</a:t>
          </a:r>
          <a:r>
            <a:rPr lang="en-US" cap="none" sz="1000" b="0" i="0" u="none" baseline="0">
              <a:latin typeface="Arial"/>
              <a:ea typeface="Arial"/>
              <a:cs typeface="Arial"/>
            </a:rPr>
            <a:t> – relates to the grinding kinetics of each independent particle and the second set – also referred to as </a:t>
          </a:r>
          <a:r>
            <a:rPr lang="en-US" cap="none" sz="1000" b="1" i="0" u="none" baseline="0">
              <a:latin typeface="Arial"/>
              <a:ea typeface="Arial"/>
              <a:cs typeface="Arial"/>
            </a:rPr>
            <a:t>Distribution of Primary Fragments</a:t>
          </a:r>
          <a:r>
            <a:rPr lang="en-US" cap="none" sz="1000" b="0" i="0" u="none" baseline="0">
              <a:latin typeface="Arial"/>
              <a:ea typeface="Arial"/>
              <a:cs typeface="Arial"/>
            </a:rPr>
            <a:t> – characterizes the size distribution of the fragments produced as a result of breakage events.
The size-dependence of the </a:t>
          </a:r>
          <a:r>
            <a:rPr lang="en-US" cap="none" sz="1000" b="1" i="0" u="none" baseline="0">
              <a:latin typeface="Arial"/>
              <a:ea typeface="Arial"/>
              <a:cs typeface="Arial"/>
            </a:rPr>
            <a:t>Selection and Breakage Parameters</a:t>
          </a:r>
          <a:r>
            <a:rPr lang="en-US" cap="none" sz="1000" b="0" i="0" u="none" baseline="0">
              <a:latin typeface="Arial"/>
              <a:ea typeface="Arial"/>
              <a:cs typeface="Arial"/>
            </a:rPr>
            <a:t> is represented by the following relationships : 
  </a:t>
          </a:r>
          <a:r>
            <a:rPr lang="en-US" cap="none" sz="1000" b="1" i="0" u="none" baseline="0">
              <a:latin typeface="Arial"/>
              <a:ea typeface="Arial"/>
              <a:cs typeface="Arial"/>
            </a:rPr>
            <a:t> -  For the Selection Function :</a:t>
          </a:r>
          <a:r>
            <a:rPr lang="en-US" cap="none" sz="1000" b="0" i="0" u="none" baseline="0">
              <a:latin typeface="Arial"/>
              <a:ea typeface="Arial"/>
              <a:cs typeface="Arial"/>
            </a:rPr>
            <a:t>
                                                 S</a:t>
          </a:r>
          <a:r>
            <a:rPr lang="en-US" cap="none" sz="1000" b="0" i="0" u="none" baseline="-25000">
              <a:latin typeface="Arial"/>
              <a:ea typeface="Arial"/>
              <a:cs typeface="Arial"/>
            </a:rPr>
            <a:t>i</a:t>
          </a:r>
          <a:r>
            <a:rPr lang="en-US" cap="none" sz="1000" b="0" i="0" u="none" baseline="30000">
              <a:latin typeface="Arial"/>
              <a:ea typeface="Arial"/>
              <a:cs typeface="Arial"/>
            </a:rPr>
            <a:t>E</a:t>
          </a:r>
          <a:r>
            <a:rPr lang="en-US" cap="none" sz="1000" b="0" i="0" u="none" baseline="0">
              <a:latin typeface="Arial"/>
              <a:ea typeface="Arial"/>
              <a:cs typeface="Arial"/>
            </a:rPr>
            <a:t>  =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a:t>
          </a:r>
          <a:r>
            <a:rPr lang="en-US" cap="none" sz="1000" b="0" i="0" u="none" baseline="0">
              <a:latin typeface="Arial"/>
              <a:ea typeface="Arial"/>
              <a:cs typeface="Arial"/>
            </a:rPr>
            <a:t> / [ 1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crit</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2</a:t>
          </a:r>
          <a:r>
            <a:rPr lang="en-US" cap="none" sz="1000" b="0" i="0" u="none" baseline="0">
              <a:latin typeface="Arial"/>
              <a:ea typeface="Arial"/>
              <a:cs typeface="Arial"/>
            </a:rPr>
            <a:t> ]                                                              (1)
      with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i+1</a:t>
          </a:r>
          <a:r>
            <a:rPr lang="en-US" cap="none" sz="1000" b="0" i="0" u="none" baseline="0">
              <a:latin typeface="Arial"/>
              <a:ea typeface="Arial"/>
              <a:cs typeface="Arial"/>
            </a:rPr>
            <a:t>)</a:t>
          </a:r>
          <a:r>
            <a:rPr lang="en-US" cap="none" sz="1000" b="0" i="0" u="none" baseline="30000">
              <a:latin typeface="Arial"/>
              <a:ea typeface="Arial"/>
              <a:cs typeface="Arial"/>
            </a:rPr>
            <a:t>0.5</a:t>
          </a:r>
          <a:r>
            <a:rPr lang="en-US" cap="none" sz="1000" b="0" i="0" u="none" baseline="0">
              <a:latin typeface="Arial"/>
              <a:ea typeface="Arial"/>
              <a:cs typeface="Arial"/>
            </a:rPr>
            <a:t>  =  average particle size of the ‘i-th’ fraction. 
      An expanded form of this expression - also available in this simulation routine - is given by :
                             S</a:t>
          </a:r>
          <a:r>
            <a:rPr lang="en-US" cap="none" sz="1000" b="0" i="0" u="none" baseline="-25000">
              <a:latin typeface="Arial"/>
              <a:ea typeface="Arial"/>
              <a:cs typeface="Arial"/>
            </a:rPr>
            <a:t>i</a:t>
          </a:r>
          <a:r>
            <a:rPr lang="en-US" cap="none" sz="1000" b="0" i="0" u="none" baseline="30000">
              <a:latin typeface="Arial"/>
              <a:ea typeface="Arial"/>
              <a:cs typeface="Arial"/>
            </a:rPr>
            <a:t>E</a:t>
          </a:r>
          <a:r>
            <a:rPr lang="en-US" cap="none" sz="1000" b="0" i="0" u="none" baseline="0">
              <a:latin typeface="Arial"/>
              <a:ea typeface="Arial"/>
              <a:cs typeface="Arial"/>
            </a:rPr>
            <a:t>  =  [1/(1+</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a:t>
          </a:r>
          <a:r>
            <a:rPr lang="en-US" cap="none" sz="1000" b="0" i="0" u="none" baseline="0">
              <a:latin typeface="Symbol"/>
              <a:ea typeface="Symbol"/>
              <a:cs typeface="Symbol"/>
            </a:rPr>
            <a:t>a</a:t>
          </a:r>
          <a:r>
            <a:rPr lang="en-US" cap="none" sz="1000" b="0" i="0" u="none" baseline="-25000">
              <a:latin typeface="Arial"/>
              <a:ea typeface="Arial"/>
              <a:cs typeface="Arial"/>
            </a:rPr>
            <a:t>01</a:t>
          </a:r>
          <a:r>
            <a:rPr lang="en-US" cap="none" sz="1000" b="0" i="0" u="none" baseline="0">
              <a:latin typeface="Arial"/>
              <a:ea typeface="Arial"/>
              <a:cs typeface="Arial"/>
            </a:rPr>
            <a:t>)]   { </a:t>
          </a:r>
          <a:r>
            <a:rPr lang="en-US" cap="none" sz="1000" b="0" i="0" u="none" baseline="0">
              <a:latin typeface="Symbol"/>
              <a:ea typeface="Symbol"/>
              <a:cs typeface="Symbol"/>
            </a:rPr>
            <a:t>a</a:t>
          </a:r>
          <a:r>
            <a:rPr lang="en-US" cap="none" sz="1000" b="0" i="0" u="none" baseline="-25000">
              <a:latin typeface="Arial"/>
              <a:ea typeface="Arial"/>
              <a:cs typeface="Arial"/>
            </a:rPr>
            <a:t>01</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11</a:t>
          </a:r>
          <a:r>
            <a:rPr lang="en-US" cap="none" sz="1000" b="0" i="0" u="none" baseline="0">
              <a:latin typeface="Arial"/>
              <a:ea typeface="Arial"/>
              <a:cs typeface="Arial"/>
            </a:rPr>
            <a:t> / [ 1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crit</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2</a:t>
          </a:r>
          <a:r>
            <a:rPr lang="en-US" cap="none" sz="1000" b="0" i="0" u="none" baseline="0">
              <a:latin typeface="Arial"/>
              <a:ea typeface="Arial"/>
              <a:cs typeface="Arial"/>
            </a:rPr>
            <a:t> ] +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12</a:t>
          </a:r>
          <a:r>
            <a:rPr lang="en-US" cap="none" sz="1000" b="0" i="0" u="none" baseline="0">
              <a:latin typeface="Arial"/>
              <a:ea typeface="Arial"/>
              <a:cs typeface="Arial"/>
            </a:rPr>
            <a:t> }                              (1e)
  </a:t>
          </a:r>
          <a:r>
            <a:rPr lang="en-US" cap="none" sz="1000" b="1" i="0" u="none" baseline="0">
              <a:latin typeface="Arial"/>
              <a:ea typeface="Arial"/>
              <a:cs typeface="Arial"/>
            </a:rPr>
            <a:t> -  For the Breakage Function :</a:t>
          </a:r>
          <a:r>
            <a:rPr lang="en-US" cap="none" sz="1000" b="0" i="0" u="none" baseline="0">
              <a:latin typeface="Arial"/>
              <a:ea typeface="Arial"/>
              <a:cs typeface="Arial"/>
            </a:rPr>
            <a:t>
                                                      B</a:t>
          </a:r>
          <a:r>
            <a:rPr lang="en-US" cap="none" sz="1000" b="0" i="0" u="none" baseline="-25000">
              <a:latin typeface="Arial"/>
              <a:ea typeface="Arial"/>
              <a:cs typeface="Arial"/>
            </a:rPr>
            <a:t>ij</a:t>
          </a:r>
          <a:r>
            <a:rPr lang="en-US" cap="none" sz="1000" b="0" i="0" u="none" baseline="0">
              <a:latin typeface="Arial"/>
              <a:ea typeface="Arial"/>
              <a:cs typeface="Arial"/>
            </a:rPr>
            <a:t>  =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a:t>
          </a:r>
          <a:r>
            <a:rPr lang="en-US" cap="none" sz="1000" b="0" i="0" u="none" baseline="30000">
              <a:latin typeface="Symbol"/>
              <a:ea typeface="Symbol"/>
              <a:cs typeface="Symbol"/>
            </a:rPr>
            <a:t>b</a:t>
          </a:r>
          <a:r>
            <a:rPr lang="en-US" cap="none" sz="800" b="0" i="0" u="none" baseline="0">
              <a:latin typeface="Arial"/>
              <a:ea typeface="Arial"/>
              <a:cs typeface="Arial"/>
            </a:rPr>
            <a:t>1</a:t>
          </a:r>
          <a:r>
            <a:rPr lang="en-US" cap="none" sz="1000" b="0" i="0" u="none" baseline="0">
              <a:latin typeface="Arial"/>
              <a:ea typeface="Arial"/>
              <a:cs typeface="Arial"/>
            </a:rPr>
            <a:t> + (1-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a:t>
          </a:r>
          <a:r>
            <a:rPr lang="en-US" cap="none" sz="1000" b="0" i="0" u="none" baseline="30000">
              <a:latin typeface="Symbol"/>
              <a:ea typeface="Symbol"/>
              <a:cs typeface="Symbol"/>
            </a:rPr>
            <a:t>b</a:t>
          </a:r>
          <a:r>
            <a:rPr lang="en-US" cap="none" sz="800" b="0" i="0" u="none" baseline="0">
              <a:latin typeface="Arial"/>
              <a:ea typeface="Arial"/>
              <a:cs typeface="Arial"/>
            </a:rPr>
            <a:t>2</a:t>
          </a:r>
          <a:r>
            <a:rPr lang="en-US" cap="none" sz="1000" b="0" i="0" u="none" baseline="0">
              <a:latin typeface="Arial"/>
              <a:ea typeface="Arial"/>
              <a:cs typeface="Arial"/>
            </a:rPr>
            <a:t>                                                        (2)
      An expanded form of this expression - also available in this estimation routine - is obtained by replacing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in
      Equation 2 by :
                                             </a:t>
          </a:r>
          <a:r>
            <a:rPr lang="en-US" cap="none" sz="1000" b="0" i="0" u="none" baseline="0">
              <a:latin typeface="Symbol"/>
              <a:ea typeface="Symbol"/>
              <a:cs typeface="Symbol"/>
            </a:rPr>
            <a:t>b</a:t>
          </a:r>
          <a:r>
            <a:rPr lang="en-US" cap="none" sz="1000" b="0" i="0" u="none" baseline="-25000">
              <a:latin typeface="Arial"/>
              <a:ea typeface="Arial"/>
              <a:cs typeface="Arial"/>
            </a:rPr>
            <a:t>0j </a:t>
          </a:r>
          <a:r>
            <a:rPr lang="en-US" cap="none" sz="1000" b="0" i="0" u="none" baseline="0">
              <a:latin typeface="Arial"/>
              <a:ea typeface="Arial"/>
              <a:cs typeface="Arial"/>
            </a:rPr>
            <a:t>  =  </a:t>
          </a:r>
          <a:r>
            <a:rPr lang="en-US" cap="none" sz="1000" b="0" i="0" u="none" baseline="0">
              <a:latin typeface="Symbol"/>
              <a:ea typeface="Symbol"/>
              <a:cs typeface="Symbol"/>
            </a:rPr>
            <a:t>b</a:t>
          </a:r>
          <a:r>
            <a:rPr lang="en-US" cap="none" sz="1000" b="0" i="0" u="none" baseline="-25000">
              <a:latin typeface="Arial"/>
              <a:ea typeface="Arial"/>
              <a:cs typeface="Arial"/>
            </a:rPr>
            <a:t>00</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/1000)</a:t>
          </a:r>
          <a:r>
            <a:rPr lang="en-US" cap="none" sz="1000" b="0" i="0" u="none" baseline="30000">
              <a:latin typeface="Arial"/>
              <a:ea typeface="Arial"/>
              <a:cs typeface="Arial"/>
            </a:rPr>
            <a:t> -</a:t>
          </a:r>
          <a:r>
            <a:rPr lang="en-US" cap="none" sz="1000" b="0" i="0" u="none" baseline="30000">
              <a:latin typeface="Symbol"/>
              <a:ea typeface="Symbol"/>
              <a:cs typeface="Symbol"/>
            </a:rPr>
            <a:t>b</a:t>
          </a:r>
          <a:r>
            <a:rPr lang="en-US" cap="none" sz="800" b="0" i="0" u="none" baseline="0">
              <a:latin typeface="Arial"/>
              <a:ea typeface="Arial"/>
              <a:cs typeface="Arial"/>
            </a:rPr>
            <a:t>01</a:t>
          </a:r>
          <a:r>
            <a:rPr lang="en-US" cap="none" sz="1000" b="0" i="0" u="none" baseline="0">
              <a:latin typeface="Arial"/>
              <a:ea typeface="Arial"/>
              <a:cs typeface="Arial"/>
            </a:rPr>
            <a:t>               , never &gt; 1                                                   (2e)
</a:t>
          </a:r>
          <a:r>
            <a:rPr lang="en-US" cap="none" sz="1000" b="1" i="0" u="none" baseline="0">
              <a:latin typeface="Arial"/>
              <a:ea typeface="Arial"/>
              <a:cs typeface="Arial"/>
            </a:rPr>
            <a:t>These expanded forms for S</a:t>
          </a:r>
          <a:r>
            <a:rPr lang="en-US" cap="none" sz="1000" b="1" i="0" u="none" baseline="-25000">
              <a:latin typeface="Arial"/>
              <a:ea typeface="Arial"/>
              <a:cs typeface="Arial"/>
            </a:rPr>
            <a:t>i</a:t>
          </a:r>
          <a:r>
            <a:rPr lang="en-US" cap="none" sz="1000" b="1" i="0" u="none" baseline="0">
              <a:latin typeface="Arial"/>
              <a:ea typeface="Arial"/>
              <a:cs typeface="Arial"/>
            </a:rPr>
            <a:t> and B</a:t>
          </a:r>
          <a:r>
            <a:rPr lang="en-US" cap="none" sz="1000" b="1" i="0" u="none" baseline="-25000">
              <a:latin typeface="Arial"/>
              <a:ea typeface="Arial"/>
              <a:cs typeface="Arial"/>
            </a:rPr>
            <a:t>ij</a:t>
          </a:r>
          <a:r>
            <a:rPr lang="en-US" cap="none" sz="1000" b="1" i="0" u="none" baseline="0">
              <a:latin typeface="Arial"/>
              <a:ea typeface="Arial"/>
              <a:cs typeface="Arial"/>
            </a:rPr>
            <a:t> are intended to provide the model greater descriptive flexibility when tuning the model to actual specific grinding systems but, since they increment the total number of ore characteristic parameters to be estimated, its use should be avoided whenever possible</a:t>
          </a:r>
          <a:r>
            <a:rPr lang="en-US" cap="none" sz="1000" b="0" i="0" u="none" baseline="0">
              <a:latin typeface="Arial"/>
              <a:ea typeface="Arial"/>
              <a:cs typeface="Arial"/>
            </a:rPr>
            <a:t>. In any case, the proposed expanded forms reduce to the normal forms if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and </a:t>
          </a:r>
          <a:r>
            <a:rPr lang="en-US" cap="none" sz="1000" b="0" i="0" u="none" baseline="0">
              <a:latin typeface="Symbol"/>
              <a:ea typeface="Symbol"/>
              <a:cs typeface="Symbol"/>
            </a:rPr>
            <a:t>b</a:t>
          </a:r>
          <a:r>
            <a:rPr lang="en-US" cap="none" sz="1000" b="0" i="0" u="none" baseline="-25000">
              <a:latin typeface="Arial"/>
              <a:ea typeface="Arial"/>
              <a:cs typeface="Arial"/>
            </a:rPr>
            <a:t>01</a:t>
          </a:r>
          <a:r>
            <a:rPr lang="en-US" cap="none" sz="1000" b="0" i="0" u="none" baseline="0">
              <a:latin typeface="Arial"/>
              <a:ea typeface="Arial"/>
              <a:cs typeface="Arial"/>
            </a:rPr>
            <a:t> are set equal to zero.
</a:t>
          </a:r>
          <a:r>
            <a:rPr lang="en-US" cap="none" sz="1000" b="1" i="0" u="none" baseline="0">
              <a:latin typeface="Arial"/>
              <a:ea typeface="Arial"/>
              <a:cs typeface="Arial"/>
            </a:rPr>
            <a:t/>
          </a:r>
        </a:p>
      </xdr:txBody>
    </xdr:sp>
    <xdr:clientData/>
  </xdr:twoCellAnchor>
  <xdr:twoCellAnchor>
    <xdr:from>
      <xdr:col>1</xdr:col>
      <xdr:colOff>0</xdr:colOff>
      <xdr:row>58</xdr:row>
      <xdr:rowOff>0</xdr:rowOff>
    </xdr:from>
    <xdr:to>
      <xdr:col>12</xdr:col>
      <xdr:colOff>0</xdr:colOff>
      <xdr:row>108</xdr:row>
      <xdr:rowOff>142875</xdr:rowOff>
    </xdr:to>
    <xdr:sp>
      <xdr:nvSpPr>
        <xdr:cNvPr id="2" name="TextBox 3"/>
        <xdr:cNvSpPr txBox="1">
          <a:spLocks noChangeArrowheads="1"/>
        </xdr:cNvSpPr>
      </xdr:nvSpPr>
      <xdr:spPr>
        <a:xfrm>
          <a:off x="114300" y="93916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latin typeface="Arial"/>
              <a:ea typeface="Arial"/>
              <a:cs typeface="Arial"/>
            </a:rPr>
            <a:t>On the basis of </a:t>
          </a:r>
          <a:r>
            <a:rPr lang="en-US" cap="none" sz="1000" b="1" i="0" u="none" baseline="0">
              <a:latin typeface="Arial"/>
              <a:ea typeface="Arial"/>
              <a:cs typeface="Arial"/>
            </a:rPr>
            <a:t>Pilot or Industrial Scale Data</a:t>
          </a:r>
          <a:r>
            <a:rPr lang="en-US" cap="none" sz="1000" b="0" i="0" u="none" baseline="0">
              <a:latin typeface="Arial"/>
              <a:ea typeface="Arial"/>
              <a:cs typeface="Arial"/>
            </a:rPr>
            <a:t>, like those typically obtained from plant sampling or audit campaigns, the </a:t>
          </a:r>
          <a:r>
            <a:rPr lang="en-US" cap="none" sz="1000" b="1" i="0" u="none" baseline="0">
              <a:latin typeface="Arial"/>
              <a:ea typeface="Arial"/>
              <a:cs typeface="Arial"/>
            </a:rPr>
            <a:t>BallParam_Open</a:t>
          </a:r>
          <a:r>
            <a:rPr lang="en-US" cap="none" sz="1000" b="0" i="0" u="none" baseline="0">
              <a:latin typeface="Arial"/>
              <a:ea typeface="Arial"/>
              <a:cs typeface="Arial"/>
            </a:rPr>
            <a:t> routine allows for the calculation of all </a:t>
          </a:r>
          <a:r>
            <a:rPr lang="en-US" cap="none" sz="1000" b="0" i="0" u="none" baseline="0">
              <a:latin typeface="Symbol"/>
              <a:ea typeface="Symbol"/>
              <a:cs typeface="Symbol"/>
            </a:rPr>
            <a:t>a</a:t>
          </a:r>
          <a:r>
            <a:rPr lang="en-US" cap="none" sz="1000" b="0" i="0" u="none" baseline="0">
              <a:latin typeface="Arial"/>
              <a:ea typeface="Arial"/>
              <a:cs typeface="Arial"/>
            </a:rPr>
            <a:t>'s and </a:t>
          </a:r>
          <a:r>
            <a:rPr lang="en-US" cap="none" sz="1000" b="0" i="0" u="none" baseline="0">
              <a:latin typeface="Symbol"/>
              <a:ea typeface="Symbol"/>
              <a:cs typeface="Symbol"/>
            </a:rPr>
            <a:t>b</a:t>
          </a:r>
          <a:r>
            <a:rPr lang="en-US" cap="none" sz="1000" b="0" i="0" u="none" baseline="0">
              <a:latin typeface="Arial"/>
              <a:ea typeface="Arial"/>
              <a:cs typeface="Arial"/>
            </a:rPr>
            <a:t>'s (including d</a:t>
          </a:r>
          <a:r>
            <a:rPr lang="en-US" cap="none" sz="1000" b="0" i="0" u="none" baseline="-25000">
              <a:latin typeface="Arial"/>
              <a:ea typeface="Arial"/>
              <a:cs typeface="Arial"/>
            </a:rPr>
            <a:t>crit</a:t>
          </a:r>
          <a:r>
            <a:rPr lang="en-US" cap="none" sz="1000" b="0" i="0" u="none" baseline="0">
              <a:latin typeface="Arial"/>
              <a:ea typeface="Arial"/>
              <a:cs typeface="Arial"/>
            </a:rPr>
            <a:t>) that minimize the least-squares </a:t>
          </a:r>
          <a:r>
            <a:rPr lang="en-US" cap="none" sz="1000" b="1" i="0" u="none" baseline="0">
              <a:latin typeface="Arial"/>
              <a:ea typeface="Arial"/>
              <a:cs typeface="Arial"/>
            </a:rPr>
            <a:t>Objective Function</a:t>
          </a:r>
          <a:r>
            <a:rPr lang="en-US" cap="none" sz="1000" b="0" i="0" u="none" baseline="0">
              <a:latin typeface="Arial"/>
              <a:ea typeface="Arial"/>
              <a:cs typeface="Arial"/>
            </a:rPr>
            <a:t> :
                                                                               </a:t>
          </a:r>
          <a:r>
            <a:rPr lang="en-US" cap="none" sz="1000" b="0" i="0" u="none" baseline="-25000">
              <a:latin typeface="Arial"/>
              <a:ea typeface="Arial"/>
              <a:cs typeface="Arial"/>
            </a:rPr>
            <a:t>n</a:t>
          </a:r>
          <a:r>
            <a:rPr lang="en-US" cap="none" sz="1000" b="0" i="0" u="none" baseline="0">
              <a:latin typeface="Arial"/>
              <a:ea typeface="Arial"/>
              <a:cs typeface="Arial"/>
            </a:rPr>
            <a:t>
                                                                     </a:t>
          </a:r>
          <a:r>
            <a:rPr lang="en-US" cap="none" sz="1200" b="0" i="0" u="none" baseline="0">
              <a:latin typeface="Symbol"/>
              <a:ea typeface="Symbol"/>
              <a:cs typeface="Symbol"/>
            </a:rPr>
            <a:t>f</a:t>
          </a:r>
          <a:r>
            <a:rPr lang="en-US" cap="none" sz="1000" b="0" i="0" u="none" baseline="0">
              <a:latin typeface="Arial"/>
              <a:ea typeface="Arial"/>
              <a:cs typeface="Arial"/>
            </a:rPr>
            <a:t>  =  </a:t>
          </a:r>
          <a:r>
            <a:rPr lang="en-US" cap="none" sz="1400" b="0" i="0" u="none" baseline="0">
              <a:latin typeface="Symbol"/>
              <a:ea typeface="Symbol"/>
              <a:cs typeface="Symbol"/>
            </a:rPr>
            <a:t>S</a:t>
          </a:r>
          <a:r>
            <a:rPr lang="en-US" cap="none" sz="1000" b="0" i="0" u="none" baseline="0">
              <a:latin typeface="Arial"/>
              <a:ea typeface="Arial"/>
              <a:cs typeface="Arial"/>
            </a:rPr>
            <a:t>  w</a:t>
          </a:r>
          <a:r>
            <a:rPr lang="en-US" cap="none" sz="1000" b="0" i="0" u="none" baseline="-25000">
              <a:latin typeface="Arial"/>
              <a:ea typeface="Arial"/>
              <a:cs typeface="Arial"/>
            </a:rPr>
            <a:t>i</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 - </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Arial"/>
              <a:ea typeface="Arial"/>
              <a:cs typeface="Arial"/>
            </a:rPr>
            <a:t>2</a:t>
          </a:r>
          <a:r>
            <a:rPr lang="en-US" cap="none" sz="1000" b="0" i="0" u="none" baseline="0">
              <a:latin typeface="Arial"/>
              <a:ea typeface="Arial"/>
              <a:cs typeface="Arial"/>
            </a:rPr>
            <a:t>                                                              (3)
                                                                             </a:t>
          </a:r>
          <a:r>
            <a:rPr lang="en-US" cap="none" sz="1000" b="0" i="0" u="none" baseline="30000">
              <a:latin typeface="Arial"/>
              <a:ea typeface="Arial"/>
              <a:cs typeface="Arial"/>
            </a:rPr>
            <a:t>i = 1</a:t>
          </a:r>
          <a:r>
            <a:rPr lang="en-US" cap="none" sz="1000" b="0" i="0" u="none" baseline="0">
              <a:latin typeface="Arial"/>
              <a:ea typeface="Arial"/>
              <a:cs typeface="Arial"/>
            </a:rPr>
            <a:t>
where the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's represent the </a:t>
          </a:r>
          <a:r>
            <a:rPr lang="en-US" cap="none" sz="1000" b="1" i="0" u="none" baseline="0">
              <a:latin typeface="Arial"/>
              <a:ea typeface="Arial"/>
              <a:cs typeface="Arial"/>
            </a:rPr>
            <a:t>experimental </a:t>
          </a:r>
          <a:r>
            <a:rPr lang="en-US" cap="none" sz="1000" b="0" i="0" u="none" baseline="0">
              <a:latin typeface="Arial"/>
              <a:ea typeface="Arial"/>
              <a:cs typeface="Arial"/>
            </a:rPr>
            <a:t>size distribution of the mill product (as % retained on screen 'i' ) and the </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's represent the  </a:t>
          </a:r>
          <a:r>
            <a:rPr lang="en-US" cap="none" sz="1000" b="1" i="0" u="none" baseline="0">
              <a:latin typeface="Arial"/>
              <a:ea typeface="Arial"/>
              <a:cs typeface="Arial"/>
            </a:rPr>
            <a:t>model</a:t>
          </a:r>
          <a:r>
            <a:rPr lang="en-US" cap="none" sz="1000" b="0" i="0" u="none" baseline="0">
              <a:latin typeface="Arial"/>
              <a:ea typeface="Arial"/>
              <a:cs typeface="Arial"/>
            </a:rPr>
            <a:t> response for each corresponding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 for a given set of model parameters. The </a:t>
          </a:r>
          <a:r>
            <a:rPr lang="en-US" cap="none" sz="1000" b="0" i="0" u="none" baseline="0">
              <a:latin typeface="Symbol"/>
              <a:ea typeface="Symbol"/>
              <a:cs typeface="Symbol"/>
            </a:rPr>
            <a:t>a</a:t>
          </a:r>
          <a:r>
            <a:rPr lang="en-US" cap="none" sz="1000" b="0" i="0" u="none" baseline="0">
              <a:latin typeface="Arial"/>
              <a:ea typeface="Arial"/>
              <a:cs typeface="Arial"/>
            </a:rPr>
            <a:t>'s and </a:t>
          </a:r>
          <a:r>
            <a:rPr lang="en-US" cap="none" sz="1000" b="0" i="0" u="none" baseline="0">
              <a:latin typeface="Symbol"/>
              <a:ea typeface="Symbol"/>
              <a:cs typeface="Symbol"/>
            </a:rPr>
            <a:t>b</a:t>
          </a:r>
          <a:r>
            <a:rPr lang="en-US" cap="none" sz="1000" b="0" i="0" u="none" baseline="0">
              <a:latin typeface="Arial"/>
              <a:ea typeface="Arial"/>
              <a:cs typeface="Arial"/>
            </a:rPr>
            <a:t>'s (including d</a:t>
          </a:r>
          <a:r>
            <a:rPr lang="en-US" cap="none" sz="1000" b="0" i="0" u="none" baseline="-25000">
              <a:latin typeface="Arial"/>
              <a:ea typeface="Arial"/>
              <a:cs typeface="Arial"/>
            </a:rPr>
            <a:t>crit</a:t>
          </a:r>
          <a:r>
            <a:rPr lang="en-US" cap="none" sz="1000" b="0" i="0" u="none" baseline="0">
              <a:latin typeface="Arial"/>
              <a:ea typeface="Arial"/>
              <a:cs typeface="Arial"/>
            </a:rPr>
            <a:t>) that yield the minimum possible value of </a:t>
          </a:r>
          <a:r>
            <a:rPr lang="en-US" cap="none" sz="1200" b="0" i="0" u="none" baseline="0">
              <a:latin typeface="Symbol"/>
              <a:ea typeface="Symbol"/>
              <a:cs typeface="Symbol"/>
            </a:rPr>
            <a:t>f</a:t>
          </a:r>
          <a:r>
            <a:rPr lang="en-US" cap="none" sz="1000" b="0" i="0" u="none" baseline="0">
              <a:latin typeface="Arial"/>
              <a:ea typeface="Arial"/>
              <a:cs typeface="Arial"/>
            </a:rPr>
            <a:t> are so considered to be representative of the particular ore under analysis. 
</a:t>
          </a:r>
          <a:r>
            <a:rPr lang="en-US" cap="none" sz="1000" b="0" i="0" u="none" baseline="0">
              <a:latin typeface="Arial"/>
              <a:ea typeface="Arial"/>
              <a:cs typeface="Arial"/>
            </a:rPr>
            <a:t>
Also in Equation 3, the w</a:t>
          </a:r>
          <a:r>
            <a:rPr lang="en-US" cap="none" sz="1000" b="0" i="0" u="none" baseline="-25000">
              <a:latin typeface="Arial"/>
              <a:ea typeface="Arial"/>
              <a:cs typeface="Arial"/>
            </a:rPr>
            <a:t>i</a:t>
          </a:r>
          <a:r>
            <a:rPr lang="en-US" cap="none" sz="1000" b="0" i="0" u="none" baseline="0">
              <a:latin typeface="Arial"/>
              <a:ea typeface="Arial"/>
              <a:cs typeface="Arial"/>
            </a:rPr>
            <a:t>'s represent user defined </a:t>
          </a:r>
          <a:r>
            <a:rPr lang="en-US" cap="none" sz="1000" b="1" i="0" u="none" baseline="0">
              <a:latin typeface="Arial"/>
              <a:ea typeface="Arial"/>
              <a:cs typeface="Arial"/>
            </a:rPr>
            <a:t>Weighting Factors </a:t>
          </a:r>
          <a:r>
            <a:rPr lang="en-US" cap="none" sz="1000" b="0" i="0" u="none" baseline="0">
              <a:latin typeface="Arial"/>
              <a:ea typeface="Arial"/>
              <a:cs typeface="Arial"/>
            </a:rPr>
            <a:t>that quantify</a:t>
          </a:r>
          <a:r>
            <a:rPr lang="en-US" cap="none" sz="1000" b="0" i="0" u="none" baseline="0">
              <a:latin typeface="Arial"/>
              <a:ea typeface="Arial"/>
              <a:cs typeface="Arial"/>
            </a:rPr>
            <a:t> the relative quality and reliability of each particular mesh value with respect to the other screens data. Relatively high values of such weighting factors indicate more reliable measurements. At the extreme, a w</a:t>
          </a:r>
          <a:r>
            <a:rPr lang="en-US" cap="none" sz="1000" b="0" i="0" u="none" baseline="-25000">
              <a:latin typeface="Arial"/>
              <a:ea typeface="Arial"/>
              <a:cs typeface="Arial"/>
            </a:rPr>
            <a:t>i</a:t>
          </a:r>
          <a:r>
            <a:rPr lang="en-US" cap="none" sz="1000" b="0" i="0" u="none" baseline="0">
              <a:latin typeface="Arial"/>
              <a:ea typeface="Arial"/>
              <a:cs typeface="Arial"/>
            </a:rPr>
            <a:t> factor equal to zero means that this particular measurement is not being included in the </a:t>
          </a:r>
          <a:r>
            <a:rPr lang="en-US" cap="none" sz="1000" b="1" i="0" u="none" baseline="0">
              <a:latin typeface="Arial"/>
              <a:ea typeface="Arial"/>
              <a:cs typeface="Arial"/>
            </a:rPr>
            <a:t>Objective Function</a:t>
          </a:r>
          <a:r>
            <a:rPr lang="en-US" cap="none" sz="1000" b="0" i="0" u="none" baseline="0">
              <a:latin typeface="Arial"/>
              <a:ea typeface="Arial"/>
              <a:cs typeface="Arial"/>
            </a:rPr>
            <a:t>.
The minimization problem stated above may be readily solved with the aid of the </a:t>
          </a:r>
          <a:r>
            <a:rPr lang="en-US" cap="none" sz="1000" b="1" i="0" u="none" baseline="0">
              <a:latin typeface="Arial"/>
              <a:ea typeface="Arial"/>
              <a:cs typeface="Arial"/>
            </a:rPr>
            <a:t>Excel Subroutine Solver</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Data Input and Program Execution :</a:t>
          </a:r>
          <a:r>
            <a:rPr lang="en-US" cap="none" sz="1000" b="0" i="0" u="none" baseline="0">
              <a:latin typeface="Arial"/>
              <a:ea typeface="Arial"/>
              <a:cs typeface="Arial"/>
            </a:rPr>
            <a:t>
Most of the data required by the algorithm must be defined in each corresponding unprotected </a:t>
          </a:r>
          <a:r>
            <a:rPr lang="en-US" cap="none" sz="1000" b="1" i="0" u="none" baseline="0">
              <a:latin typeface="Arial"/>
              <a:ea typeface="Arial"/>
              <a:cs typeface="Arial"/>
            </a:rPr>
            <a:t>white background cell</a:t>
          </a:r>
          <a:r>
            <a:rPr lang="en-US" cap="none" sz="1000" b="0" i="0" u="none" baseline="0">
              <a:latin typeface="Arial"/>
              <a:ea typeface="Arial"/>
              <a:cs typeface="Arial"/>
            </a:rPr>
            <a:t> - inside the red double-lined border - of the here attached </a:t>
          </a:r>
          <a:r>
            <a:rPr lang="en-US" cap="none" sz="1000" b="1" i="0" u="none" baseline="0">
              <a:latin typeface="Arial"/>
              <a:ea typeface="Arial"/>
              <a:cs typeface="Arial"/>
            </a:rPr>
            <a:t>Data_File</a:t>
          </a:r>
          <a:r>
            <a:rPr lang="en-US" cap="none" sz="1000" b="0" i="0" u="none" baseline="0">
              <a:latin typeface="Arial"/>
              <a:ea typeface="Arial"/>
              <a:cs typeface="Arial"/>
            </a:rPr>
            <a:t> worksheet. </a:t>
          </a:r>
          <a:r>
            <a:rPr lang="en-US" cap="none" sz="1000" b="1" i="0" u="none" baseline="0">
              <a:latin typeface="Arial"/>
              <a:ea typeface="Arial"/>
              <a:cs typeface="Arial"/>
            </a:rPr>
            <a:t>Gray background cells</a:t>
          </a:r>
          <a:r>
            <a:rPr lang="en-US" cap="none" sz="1000" b="0" i="0" u="none" baseline="0">
              <a:latin typeface="Arial"/>
              <a:ea typeface="Arial"/>
              <a:cs typeface="Arial"/>
            </a:rPr>
            <a:t> contain the results of the corresponding formulas there defined and are protected to avoid any accidental editing.
The remaining information required to run the program is entered in the </a:t>
          </a:r>
          <a:r>
            <a:rPr lang="en-US" cap="none" sz="1000" b="1" i="0" u="none" baseline="0">
              <a:latin typeface="Arial"/>
              <a:ea typeface="Arial"/>
              <a:cs typeface="Arial"/>
            </a:rPr>
            <a:t>Control_Panel</a:t>
          </a:r>
          <a:r>
            <a:rPr lang="en-US" cap="none" sz="1000" b="0" i="0" u="none" baseline="0">
              <a:latin typeface="Arial"/>
              <a:ea typeface="Arial"/>
              <a:cs typeface="Arial"/>
            </a:rPr>
            <a:t> worksheet, where the user is requested to provide initial guesses of the grinding parameters listed above.
To run the program, select the objective function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in </a:t>
          </a:r>
          <a:r>
            <a:rPr lang="en-US" cap="none" sz="1000" b="1" i="0" u="none" baseline="0">
              <a:latin typeface="Arial"/>
              <a:ea typeface="Arial"/>
              <a:cs typeface="Arial"/>
            </a:rPr>
            <a:t>Control_Panel</a:t>
          </a:r>
          <a:r>
            <a:rPr lang="en-US" cap="none" sz="1000" b="0" i="0" u="none" baseline="0">
              <a:latin typeface="Arial"/>
              <a:ea typeface="Arial"/>
              <a:cs typeface="Arial"/>
            </a:rPr>
            <a:t> and then, from the </a:t>
          </a:r>
          <a:r>
            <a:rPr lang="en-US" cap="none" sz="1000" b="1" i="0" u="none" baseline="0">
              <a:latin typeface="Arial"/>
              <a:ea typeface="Arial"/>
              <a:cs typeface="Arial"/>
            </a:rPr>
            <a:t>Tools Menu</a:t>
          </a:r>
          <a:r>
            <a:rPr lang="en-US" cap="none" sz="1000" b="0" i="0" u="none" baseline="0">
              <a:latin typeface="Arial"/>
              <a:ea typeface="Arial"/>
              <a:cs typeface="Arial"/>
            </a:rPr>
            <a:t>, select </a:t>
          </a:r>
          <a:r>
            <a:rPr lang="en-US" cap="none" sz="1000" b="1" i="0" u="none" baseline="0">
              <a:latin typeface="Arial"/>
              <a:ea typeface="Arial"/>
              <a:cs typeface="Arial"/>
            </a:rPr>
            <a:t>Solver</a:t>
          </a:r>
          <a:r>
            <a:rPr lang="en-US" cap="none" sz="1000" b="0" i="0" u="none" baseline="0">
              <a:latin typeface="Arial"/>
              <a:ea typeface="Arial"/>
              <a:cs typeface="Arial"/>
            </a:rPr>
            <a:t> ..., then </a:t>
          </a:r>
          <a:r>
            <a:rPr lang="en-US" cap="none" sz="1000" b="1" i="0" u="none" baseline="0">
              <a:latin typeface="Arial"/>
              <a:ea typeface="Arial"/>
              <a:cs typeface="Arial"/>
            </a:rPr>
            <a:t>Min</a:t>
          </a:r>
          <a:r>
            <a:rPr lang="en-US" cap="none" sz="1000" b="0" i="0" u="none" baseline="0">
              <a:latin typeface="Arial"/>
              <a:ea typeface="Arial"/>
              <a:cs typeface="Arial"/>
            </a:rPr>
            <a:t> and then </a:t>
          </a:r>
          <a:r>
            <a:rPr lang="en-US" cap="none" sz="1000" b="1" i="0" u="none" baseline="0">
              <a:latin typeface="Arial"/>
              <a:ea typeface="Arial"/>
              <a:cs typeface="Arial"/>
            </a:rPr>
            <a:t>By Changing</a:t>
          </a:r>
          <a:r>
            <a:rPr lang="en-US" cap="none" sz="1000" b="0" i="0" u="none" baseline="0">
              <a:latin typeface="Arial"/>
              <a:ea typeface="Arial"/>
              <a:cs typeface="Arial"/>
            </a:rPr>
            <a:t> any combination of </a:t>
          </a:r>
          <a:r>
            <a:rPr lang="en-US" cap="none" sz="1000" b="1" i="0" u="none" baseline="0">
              <a:solidFill>
                <a:srgbClr val="FF0000"/>
              </a:solidFill>
              <a:latin typeface="Arial"/>
              <a:ea typeface="Arial"/>
              <a:cs typeface="Arial"/>
            </a:rPr>
            <a:t>Cells E10:E24 </a:t>
          </a:r>
          <a:r>
            <a:rPr lang="en-US" cap="none" sz="1000" b="0" i="0" u="none" baseline="0">
              <a:solidFill>
                <a:srgbClr val="000000"/>
              </a:solidFill>
              <a:latin typeface="Arial"/>
              <a:ea typeface="Arial"/>
              <a:cs typeface="Arial"/>
            </a:rPr>
            <a:t>(see </a:t>
          </a:r>
          <a:r>
            <a:rPr lang="en-US" cap="none" sz="1000" b="1" i="0" u="none" baseline="0">
              <a:solidFill>
                <a:srgbClr val="000080"/>
              </a:solidFill>
              <a:latin typeface="Arial"/>
              <a:ea typeface="Arial"/>
              <a:cs typeface="Arial"/>
            </a:rPr>
            <a:t>Useful Hints</a:t>
          </a:r>
          <a:r>
            <a:rPr lang="en-US" cap="none" sz="1000" b="0" i="0" u="none" baseline="0">
              <a:solidFill>
                <a:srgbClr val="000000"/>
              </a:solidFill>
              <a:latin typeface="Arial"/>
              <a:ea typeface="Arial"/>
              <a:cs typeface="Arial"/>
            </a:rPr>
            <a:t> below)</a:t>
          </a:r>
          <a:r>
            <a:rPr lang="en-US" cap="none" sz="1000" b="0" i="0" u="none" baseline="0">
              <a:latin typeface="Arial"/>
              <a:ea typeface="Arial"/>
              <a:cs typeface="Arial"/>
            </a:rPr>
            <a:t>. Clicking on the </a:t>
          </a:r>
          <a:r>
            <a:rPr lang="en-US" cap="none" sz="1000" b="1" i="0" u="none" baseline="0">
              <a:latin typeface="Arial"/>
              <a:ea typeface="Arial"/>
              <a:cs typeface="Arial"/>
            </a:rPr>
            <a:t>Solve</a:t>
          </a:r>
          <a:r>
            <a:rPr lang="en-US" cap="none" sz="1000" b="0" i="0" u="none" baseline="0">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a:t>
          </a:r>
          <a:r>
            <a:rPr lang="en-US" cap="none" sz="1000" b="0" i="0" u="none" baseline="0">
              <a:latin typeface="Arial"/>
              <a:ea typeface="Arial"/>
              <a:cs typeface="Arial"/>
            </a:rPr>
            <a:t>. Otherwise, the current outputs are not valid.
Calculation results are summarized in the </a:t>
          </a:r>
          <a:r>
            <a:rPr lang="en-US" cap="none" sz="1000" b="1" i="0" u="none" baseline="0">
              <a:latin typeface="Arial"/>
              <a:ea typeface="Arial"/>
              <a:cs typeface="Arial"/>
            </a:rPr>
            <a:t>Reports</a:t>
          </a:r>
          <a:r>
            <a:rPr lang="en-US" cap="none" sz="1000" b="0" i="0" u="none" baseline="0">
              <a:latin typeface="Arial"/>
              <a:ea typeface="Arial"/>
              <a:cs typeface="Arial"/>
            </a:rPr>
            <a:t> worksheet.</a:t>
          </a:r>
          <a:r>
            <a:rPr lang="en-US" cap="none" sz="1000" b="0" i="0" u="none" baseline="0">
              <a:latin typeface="Arial"/>
              <a:ea typeface="Arial"/>
              <a:cs typeface="Arial"/>
            </a:rPr>
            <a:t>
New </a:t>
          </a:r>
          <a:r>
            <a:rPr lang="en-US" cap="none" sz="1000" b="1" i="0" u="none" baseline="0">
              <a:latin typeface="Arial"/>
              <a:ea typeface="Arial"/>
              <a:cs typeface="Arial"/>
            </a:rPr>
            <a:t>Moly-Cop Tools</a:t>
          </a:r>
          <a:r>
            <a:rPr lang="en-US" cap="none" sz="1000" b="0" i="0" u="none" baseline="0">
              <a:latin typeface="Arial"/>
              <a:ea typeface="Arial"/>
              <a:cs typeface="Arial"/>
            </a:rPr>
            <a:t> users are invited to explore the brief comments inserted in each relevant cell, rendering the whole utilization of the worksheets self-explanatory. Eventually, the user may wish to remove the view of the comments by selecting </a:t>
          </a:r>
          <a:r>
            <a:rPr lang="en-US" cap="none" sz="1000" b="1" i="0" u="none" baseline="0">
              <a:latin typeface="Arial"/>
              <a:ea typeface="Arial"/>
              <a:cs typeface="Arial"/>
            </a:rPr>
            <a:t>Tools / Options / View / Comments / None</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1</xdr:col>
      <xdr:colOff>0</xdr:colOff>
      <xdr:row>113</xdr:row>
      <xdr:rowOff>0</xdr:rowOff>
    </xdr:from>
    <xdr:to>
      <xdr:col>12</xdr:col>
      <xdr:colOff>0</xdr:colOff>
      <xdr:row>163</xdr:row>
      <xdr:rowOff>142875</xdr:rowOff>
    </xdr:to>
    <xdr:sp>
      <xdr:nvSpPr>
        <xdr:cNvPr id="3" name="TextBox 4"/>
        <xdr:cNvSpPr txBox="1">
          <a:spLocks noChangeArrowheads="1"/>
        </xdr:cNvSpPr>
      </xdr:nvSpPr>
      <xdr:spPr>
        <a:xfrm>
          <a:off x="114300" y="18297525"/>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80"/>
              </a:solidFill>
              <a:latin typeface="Arial"/>
              <a:ea typeface="Arial"/>
              <a:cs typeface="Arial"/>
            </a:rPr>
            <a:t>Useful Hints :</a:t>
          </a:r>
          <a:r>
            <a:rPr lang="en-US" cap="none" sz="1000" b="0" i="0" u="none" baseline="0">
              <a:latin typeface="Arial"/>
              <a:ea typeface="Arial"/>
              <a:cs typeface="Arial"/>
            </a:rPr>
            <a:t>
The proper utilization of the parameter estimation spreadsheets - like </a:t>
          </a:r>
          <a:r>
            <a:rPr lang="en-US" cap="none" sz="1000" b="1" i="0" u="none" baseline="0">
              <a:latin typeface="Arial"/>
              <a:ea typeface="Arial"/>
              <a:cs typeface="Arial"/>
            </a:rPr>
            <a:t>BallParam_Open</a:t>
          </a:r>
          <a:r>
            <a:rPr lang="en-US" cap="none" sz="1000" b="0" i="0" u="none" baseline="0">
              <a:latin typeface="Arial"/>
              <a:ea typeface="Arial"/>
              <a:cs typeface="Arial"/>
            </a:rPr>
            <a:t> - is by far the most complex task to be undertaken with </a:t>
          </a:r>
          <a:r>
            <a:rPr lang="en-US" cap="none" sz="1000" b="1" i="0" u="none" baseline="0">
              <a:latin typeface="Arial"/>
              <a:ea typeface="Arial"/>
              <a:cs typeface="Arial"/>
            </a:rPr>
            <a:t>Moly-Cop Tools</a:t>
          </a:r>
          <a:r>
            <a:rPr lang="en-US" cap="none" sz="1000" b="0" i="0" u="none" baseline="0">
              <a:latin typeface="Arial"/>
              <a:ea typeface="Arial"/>
              <a:cs typeface="Arial"/>
            </a:rPr>
            <a:t>. There is no set of firm recommendations to obey, but the following </a:t>
          </a:r>
          <a:r>
            <a:rPr lang="en-US" cap="none" sz="1000" b="1" i="0" u="none" baseline="0">
              <a:latin typeface="Arial"/>
              <a:ea typeface="Arial"/>
              <a:cs typeface="Arial"/>
            </a:rPr>
            <a:t>hints</a:t>
          </a:r>
          <a:r>
            <a:rPr lang="en-US" cap="none" sz="1000" b="0" i="0" u="none" baseline="0">
              <a:latin typeface="Arial"/>
              <a:ea typeface="Arial"/>
              <a:cs typeface="Arial"/>
            </a:rPr>
            <a:t> may help guiding the user in the search of the most representative set of grinding parameters :
1. It is not required to run the </a:t>
          </a:r>
          <a:r>
            <a:rPr lang="en-US" cap="none" sz="1000" b="1" i="0" u="none" baseline="0">
              <a:latin typeface="Arial"/>
              <a:ea typeface="Arial"/>
              <a:cs typeface="Arial"/>
            </a:rPr>
            <a:t>Solver</a:t>
          </a:r>
          <a:r>
            <a:rPr lang="en-US" cap="none" sz="1000" b="0" i="0" u="none" baseline="0">
              <a:latin typeface="Arial"/>
              <a:ea typeface="Arial"/>
              <a:cs typeface="Arial"/>
            </a:rPr>
            <a:t> search for </a:t>
          </a:r>
          <a:r>
            <a:rPr lang="en-US" cap="none" sz="1000" b="0" i="0" u="sng" baseline="0">
              <a:latin typeface="Arial"/>
              <a:ea typeface="Arial"/>
              <a:cs typeface="Arial"/>
            </a:rPr>
            <a:t>all</a:t>
          </a:r>
          <a:r>
            <a:rPr lang="en-US" cap="none" sz="1000" b="0" i="0" u="none" baseline="0">
              <a:latin typeface="Arial"/>
              <a:ea typeface="Arial"/>
              <a:cs typeface="Arial"/>
            </a:rPr>
            <a:t> parameters at the same time. In fact, this is strongly </a:t>
          </a:r>
          <a:r>
            <a:rPr lang="en-US" cap="none" sz="1000" b="0" i="0" u="sng" baseline="0">
              <a:latin typeface="Arial"/>
              <a:ea typeface="Arial"/>
              <a:cs typeface="Arial"/>
            </a:rPr>
            <a:t>not</a:t>
          </a:r>
          <a:r>
            <a:rPr lang="en-US" cap="none" sz="1000" b="0" i="0" u="none" baseline="0">
              <a:latin typeface="Arial"/>
              <a:ea typeface="Arial"/>
              <a:cs typeface="Arial"/>
            </a:rPr>
            <a:t> recommended, as the search algorithm will most likely fail to find the minimizing optimum when dealing with too many parameters at once. To exclude any given parameter off the search, remove the corresponding cell reference (in the </a:t>
          </a:r>
          <a:r>
            <a:rPr lang="en-US" cap="none" sz="1000" b="1" i="0" u="none" baseline="0">
              <a:solidFill>
                <a:srgbClr val="FF0000"/>
              </a:solidFill>
              <a:latin typeface="Arial"/>
              <a:ea typeface="Arial"/>
              <a:cs typeface="Arial"/>
            </a:rPr>
            <a:t>E10:E24</a:t>
          </a:r>
          <a:r>
            <a:rPr lang="en-US" cap="none" sz="1000" b="0" i="0" u="none" baseline="0">
              <a:latin typeface="Arial"/>
              <a:ea typeface="Arial"/>
              <a:cs typeface="Arial"/>
            </a:rPr>
            <a:t> range in </a:t>
          </a:r>
          <a:r>
            <a:rPr lang="en-US" cap="none" sz="1000" b="1" i="0" u="none" baseline="0">
              <a:latin typeface="Arial"/>
              <a:ea typeface="Arial"/>
              <a:cs typeface="Arial"/>
            </a:rPr>
            <a:t>Control_Panel</a:t>
          </a:r>
          <a:r>
            <a:rPr lang="en-US" cap="none" sz="1000" b="0" i="0" u="none" baseline="0">
              <a:latin typeface="Arial"/>
              <a:ea typeface="Arial"/>
              <a:cs typeface="Arial"/>
            </a:rPr>
            <a:t>) off the </a:t>
          </a:r>
          <a:r>
            <a:rPr lang="en-US" cap="none" sz="1000" b="1" i="0" u="none" baseline="0">
              <a:latin typeface="Arial"/>
              <a:ea typeface="Arial"/>
              <a:cs typeface="Arial"/>
            </a:rPr>
            <a:t>By Changing</a:t>
          </a:r>
          <a:r>
            <a:rPr lang="en-US" cap="none" sz="1000" b="0" i="0" u="none" baseline="0">
              <a:latin typeface="Arial"/>
              <a:ea typeface="Arial"/>
              <a:cs typeface="Arial"/>
            </a:rPr>
            <a:t> list of cells in </a:t>
          </a:r>
          <a:r>
            <a:rPr lang="en-US" cap="none" sz="1000" b="1" i="0" u="none" baseline="0">
              <a:latin typeface="Arial"/>
              <a:ea typeface="Arial"/>
              <a:cs typeface="Arial"/>
            </a:rPr>
            <a:t>Solver</a:t>
          </a:r>
          <a:r>
            <a:rPr lang="en-US" cap="none" sz="1000" b="0" i="0" u="none" baseline="0">
              <a:latin typeface="Arial"/>
              <a:ea typeface="Arial"/>
              <a:cs typeface="Arial"/>
            </a:rPr>
            <a:t> and that parameter value will then remain constant and equal to its original guess during the whole search.
2. When multiple experimental data sets are available (</a:t>
          </a:r>
          <a:r>
            <a:rPr lang="en-US" cap="none" sz="1000" b="0" i="0" u="none" baseline="0">
              <a:latin typeface="Arial"/>
              <a:ea typeface="Arial"/>
              <a:cs typeface="Arial"/>
            </a:rPr>
            <a:t>the most desirable condition</a:t>
          </a:r>
          <a:r>
            <a:rPr lang="en-US" cap="none" sz="1000" b="0" i="0" u="none" baseline="0">
              <a:latin typeface="Arial"/>
              <a:ea typeface="Arial"/>
              <a:cs typeface="Arial"/>
            </a:rPr>
            <a:t>) for various </a:t>
          </a:r>
          <a:r>
            <a:rPr lang="en-US" cap="none" sz="1000" b="1" i="0" u="none" baseline="0">
              <a:latin typeface="Arial"/>
              <a:ea typeface="Arial"/>
              <a:cs typeface="Arial"/>
            </a:rPr>
            <a:t>ore types</a:t>
          </a:r>
          <a:r>
            <a:rPr lang="en-US" cap="none" sz="1000" b="0" i="0" u="none" baseline="0">
              <a:latin typeface="Arial"/>
              <a:ea typeface="Arial"/>
              <a:cs typeface="Arial"/>
            </a:rPr>
            <a:t> (hard, soft, etc.) or </a:t>
          </a:r>
          <a:r>
            <a:rPr lang="en-US" cap="none" sz="1000" b="1" i="0" u="none" baseline="0">
              <a:latin typeface="Arial"/>
              <a:ea typeface="Arial"/>
              <a:cs typeface="Arial"/>
            </a:rPr>
            <a:t>grinding conditions</a:t>
          </a:r>
          <a:r>
            <a:rPr lang="en-US" cap="none" sz="1000" b="0" i="0" u="none" baseline="0">
              <a:latin typeface="Arial"/>
              <a:ea typeface="Arial"/>
              <a:cs typeface="Arial"/>
            </a:rPr>
            <a:t> (mill filling, ball size, % solids, etc.), always attempt to obtain a </a:t>
          </a:r>
          <a:r>
            <a:rPr lang="en-US" cap="none" sz="1000" b="0" i="0" u="sng" baseline="0">
              <a:latin typeface="Arial"/>
              <a:ea typeface="Arial"/>
              <a:cs typeface="Arial"/>
            </a:rPr>
            <a:t>reasonable</a:t>
          </a:r>
          <a:r>
            <a:rPr lang="en-US" cap="none" sz="1000" b="0" i="0" u="none" baseline="0">
              <a:latin typeface="Arial"/>
              <a:ea typeface="Arial"/>
              <a:cs typeface="Arial"/>
            </a:rPr>
            <a:t> model fit of these data with the same average parameter values for all sets. If that is not acceptable, proceed to allow differences in the most critical parameters in the following sequence :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crit</a:t>
          </a:r>
          <a:r>
            <a:rPr lang="en-US" cap="none" sz="1000" b="0" i="0" u="none" baseline="0">
              <a:latin typeface="Arial"/>
              <a:ea typeface="Arial"/>
              <a:cs typeface="Arial"/>
            </a:rPr>
            <a:t>,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1</a:t>
          </a:r>
          <a:r>
            <a:rPr lang="en-US" cap="none" sz="1000" b="0" i="0" u="none" baseline="0">
              <a:latin typeface="Arial"/>
              <a:ea typeface="Arial"/>
              <a:cs typeface="Arial"/>
            </a:rPr>
            <a:t>and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Keep in mind that a larger number of adjustable parameters in the search (that is, included in the </a:t>
          </a:r>
          <a:r>
            <a:rPr lang="en-US" cap="none" sz="1000" b="1" i="0" u="none" baseline="0">
              <a:latin typeface="Arial"/>
              <a:ea typeface="Arial"/>
              <a:cs typeface="Arial"/>
            </a:rPr>
            <a:t>By Changing</a:t>
          </a:r>
          <a:r>
            <a:rPr lang="en-US" cap="none" sz="1000" b="0" i="0" u="none" baseline="0">
              <a:latin typeface="Arial"/>
              <a:ea typeface="Arial"/>
              <a:cs typeface="Arial"/>
            </a:rPr>
            <a:t> list) will necessarily yield lower </a:t>
          </a:r>
          <a:r>
            <a:rPr lang="en-US" cap="none" sz="1000" b="1" i="0" u="none" baseline="0">
              <a:latin typeface="Arial"/>
              <a:ea typeface="Arial"/>
              <a:cs typeface="Arial"/>
            </a:rPr>
            <a:t>Objective Function</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values, but the values of the parameters that achieve such minimum will be less reliable in statistical terms and therefore, from one data set to another, these parameters will exhibit significant variability and covariance amongst them, rendering them </a:t>
          </a:r>
          <a:r>
            <a:rPr lang="en-US" cap="none" sz="1000" b="0" i="0" u="sng" baseline="0">
              <a:latin typeface="Arial"/>
              <a:ea typeface="Arial"/>
              <a:cs typeface="Arial"/>
            </a:rPr>
            <a:t>meaningless</a:t>
          </a:r>
          <a:r>
            <a:rPr lang="en-US" cap="none" sz="1000" b="0" i="0" u="none" baseline="0">
              <a:latin typeface="Arial"/>
              <a:ea typeface="Arial"/>
              <a:cs typeface="Arial"/>
            </a:rPr>
            <a:t>.
3. An advisable starting run of the algorithm for each independent available data set should considered a search for parameters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1</a:t>
          </a:r>
          <a:r>
            <a:rPr lang="en-US" cap="none" sz="1000" b="0" i="0" u="none" baseline="0">
              <a:latin typeface="Arial"/>
              <a:ea typeface="Arial"/>
              <a:cs typeface="Arial"/>
            </a:rPr>
            <a:t>, d</a:t>
          </a:r>
          <a:r>
            <a:rPr lang="en-US" cap="none" sz="1000" b="0" i="0" u="none" baseline="-25000">
              <a:latin typeface="Arial"/>
              <a:ea typeface="Arial"/>
              <a:cs typeface="Arial"/>
            </a:rPr>
            <a:t>crit</a:t>
          </a:r>
          <a:r>
            <a:rPr lang="en-US" cap="none" sz="1000" b="0" i="0" u="none" baseline="0">
              <a:latin typeface="Arial"/>
              <a:ea typeface="Arial"/>
              <a:cs typeface="Arial"/>
            </a:rPr>
            <a:t> and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leaving the others fix at nominal values : </a:t>
          </a:r>
          <a:r>
            <a:rPr lang="en-US" cap="none" sz="1000" b="0" i="0" u="none" baseline="0">
              <a:latin typeface="Symbol"/>
              <a:ea typeface="Symbol"/>
              <a:cs typeface="Symbol"/>
            </a:rPr>
            <a:t>a</a:t>
          </a:r>
          <a:r>
            <a:rPr lang="en-US" cap="none" sz="1000" b="0" i="0" u="none" baseline="-25000">
              <a:latin typeface="Arial"/>
              <a:ea typeface="Arial"/>
              <a:cs typeface="Arial"/>
            </a:rPr>
            <a:t>2</a:t>
          </a:r>
          <a:r>
            <a:rPr lang="en-US" cap="none" sz="1000" b="0" i="0" u="none" baseline="0">
              <a:latin typeface="Arial"/>
              <a:ea typeface="Arial"/>
              <a:cs typeface="Arial"/>
            </a:rPr>
            <a:t> = 3.0,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 0.5 and </a:t>
          </a:r>
          <a:r>
            <a:rPr lang="en-US" cap="none" sz="1000" b="0" i="0" u="none" baseline="0">
              <a:latin typeface="Symbol"/>
              <a:ea typeface="Symbol"/>
              <a:cs typeface="Symbol"/>
            </a:rPr>
            <a:t>b</a:t>
          </a:r>
          <a:r>
            <a:rPr lang="en-US" cap="none" sz="1000" b="0" i="0" u="none" baseline="-25000">
              <a:latin typeface="Arial"/>
              <a:ea typeface="Arial"/>
              <a:cs typeface="Arial"/>
            </a:rPr>
            <a:t>2</a:t>
          </a:r>
          <a:r>
            <a:rPr lang="en-US" cap="none" sz="1000" b="0" i="0" u="none" baseline="0">
              <a:latin typeface="Arial"/>
              <a:ea typeface="Arial"/>
              <a:cs typeface="Arial"/>
            </a:rPr>
            <a:t> = 4.0. Use the
</a:t>
          </a:r>
          <a:r>
            <a:rPr lang="en-US" cap="none" sz="1000" b="1" i="0" u="none" baseline="0">
              <a:latin typeface="Arial"/>
              <a:ea typeface="Arial"/>
              <a:cs typeface="Arial"/>
            </a:rPr>
            <a:t>green background</a:t>
          </a:r>
          <a:r>
            <a:rPr lang="en-US" cap="none" sz="1000" b="0" i="0" u="none" baseline="0">
              <a:latin typeface="Arial"/>
              <a:ea typeface="Arial"/>
              <a:cs typeface="Arial"/>
            </a:rPr>
            <a:t> table below the </a:t>
          </a:r>
          <a:r>
            <a:rPr lang="en-US" cap="none" sz="1000" b="1" i="0" u="none" baseline="0">
              <a:latin typeface="Arial"/>
              <a:ea typeface="Arial"/>
              <a:cs typeface="Arial"/>
            </a:rPr>
            <a:t>Control_Panel</a:t>
          </a:r>
          <a:r>
            <a:rPr lang="en-US" cap="none" sz="1000" b="0" i="0" u="none" baseline="0">
              <a:latin typeface="Arial"/>
              <a:ea typeface="Arial"/>
              <a:cs typeface="Arial"/>
            </a:rPr>
            <a:t> area to summarize the results of your search with the various available data sets. </a:t>
          </a:r>
          <a:r>
            <a:rPr lang="en-US" cap="none" sz="1000" b="1" i="0" u="none" baseline="0">
              <a:solidFill>
                <a:srgbClr val="FF0000"/>
              </a:solidFill>
              <a:latin typeface="Arial"/>
              <a:ea typeface="Arial"/>
              <a:cs typeface="Arial"/>
            </a:rPr>
            <a:t>Be careful to follow the instructions provided at the bottom of such table.</a:t>
          </a:r>
          <a:r>
            <a:rPr lang="en-US" cap="none" sz="1000" b="0" i="0" u="none" baseline="0">
              <a:latin typeface="Arial"/>
              <a:ea typeface="Arial"/>
              <a:cs typeface="Arial"/>
            </a:rPr>
            <a:t> If the model fits appear to be reasonable, then you should attempt to reduce the number of adjustable parameters. Look for the one parameter that exhibit the least </a:t>
          </a:r>
          <a:r>
            <a:rPr lang="en-US" cap="none" sz="1000" b="1" i="0" u="none" baseline="0">
              <a:latin typeface="Arial"/>
              <a:ea typeface="Arial"/>
              <a:cs typeface="Arial"/>
            </a:rPr>
            <a:t>Coefficient of Variation</a:t>
          </a:r>
          <a:r>
            <a:rPr lang="en-US" cap="none" sz="1000" b="0" i="0" u="none" baseline="0">
              <a:latin typeface="Arial"/>
              <a:ea typeface="Arial"/>
              <a:cs typeface="Arial"/>
            </a:rPr>
            <a:t> (the ratio of its standard deviation to its average value, for all data sets) and set it fix at its average value and </a:t>
          </a:r>
          <a:r>
            <a:rPr lang="en-US" cap="none" sz="1000" b="0" i="0" u="sng" baseline="0">
              <a:latin typeface="Arial"/>
              <a:ea typeface="Arial"/>
              <a:cs typeface="Arial"/>
            </a:rPr>
            <a:t>equal for all data sets</a:t>
          </a:r>
          <a:r>
            <a:rPr lang="en-US" cap="none" sz="1000" b="0" i="0" u="none" baseline="0">
              <a:latin typeface="Arial"/>
              <a:ea typeface="Arial"/>
              <a:cs typeface="Arial"/>
            </a:rPr>
            <a:t>, for the next runs of the search. Continue removing the remaining adjustable parameters off the </a:t>
          </a:r>
          <a:r>
            <a:rPr lang="en-US" cap="none" sz="1000" b="1" i="0" u="none" baseline="0">
              <a:latin typeface="Arial"/>
              <a:ea typeface="Arial"/>
              <a:cs typeface="Arial"/>
            </a:rPr>
            <a:t>By Changing</a:t>
          </a:r>
          <a:r>
            <a:rPr lang="en-US" cap="none" sz="1000" b="0" i="0" u="none" baseline="0">
              <a:latin typeface="Arial"/>
              <a:ea typeface="Arial"/>
              <a:cs typeface="Arial"/>
            </a:rPr>
            <a:t> list, </a:t>
          </a:r>
          <a:r>
            <a:rPr lang="en-US" cap="none" sz="1000" b="0" i="0" u="sng" baseline="0">
              <a:latin typeface="Arial"/>
              <a:ea typeface="Arial"/>
              <a:cs typeface="Arial"/>
            </a:rPr>
            <a:t>one at a time</a:t>
          </a:r>
          <a:r>
            <a:rPr lang="en-US" cap="none" sz="1000" b="0" i="0" u="none" baseline="0">
              <a:latin typeface="Arial"/>
              <a:ea typeface="Arial"/>
              <a:cs typeface="Arial"/>
            </a:rPr>
            <a:t>, until the model fit is no longer judged acceptable. The concept behind this parameter screening process is to lump the impact of whatever </a:t>
          </a:r>
          <a:r>
            <a:rPr lang="en-US" cap="none" sz="1000" b="1" i="0" u="none" baseline="0">
              <a:latin typeface="Arial"/>
              <a:ea typeface="Arial"/>
              <a:cs typeface="Arial"/>
            </a:rPr>
            <a:t>ore properties</a:t>
          </a:r>
          <a:r>
            <a:rPr lang="en-US" cap="none" sz="1000" b="0" i="0" u="none" baseline="0">
              <a:latin typeface="Arial"/>
              <a:ea typeface="Arial"/>
              <a:cs typeface="Arial"/>
            </a:rPr>
            <a:t> or </a:t>
          </a:r>
          <a:r>
            <a:rPr lang="en-US" cap="none" sz="1000" b="1" i="0" u="none" baseline="0">
              <a:latin typeface="Arial"/>
              <a:ea typeface="Arial"/>
              <a:cs typeface="Arial"/>
            </a:rPr>
            <a:t>process variable</a:t>
          </a:r>
          <a:r>
            <a:rPr lang="en-US" cap="none" sz="1000" b="0" i="0" u="none" baseline="0">
              <a:latin typeface="Arial"/>
              <a:ea typeface="Arial"/>
              <a:cs typeface="Arial"/>
            </a:rPr>
            <a:t> are being investigated into the least possible number of parameters in order to improve the statistical significance of the estimations and facilitate the derivation of valid conclusions regarding such effects. For instance, it is believed that the distribution of ball sizes in the mill only affects the parameters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and d</a:t>
          </a:r>
          <a:r>
            <a:rPr lang="en-US" cap="none" sz="1000" b="0" i="0" u="none" baseline="-25000">
              <a:latin typeface="Arial"/>
              <a:ea typeface="Arial"/>
              <a:cs typeface="Arial"/>
            </a:rPr>
            <a:t>crit</a:t>
          </a:r>
          <a:r>
            <a:rPr lang="en-US" cap="none" sz="1000" b="0" i="0" u="none" baseline="0">
              <a:latin typeface="Arial"/>
              <a:ea typeface="Arial"/>
              <a:cs typeface="Arial"/>
            </a:rPr>
            <a:t>. Similarly, hardness variations of the same ore source may be well described by changes in the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parameter only. </a:t>
          </a:r>
          <a:r>
            <a:rPr lang="en-US" cap="none" sz="1000" b="1" i="0" u="none" baseline="0">
              <a:latin typeface="Arial"/>
              <a:ea typeface="Arial"/>
              <a:cs typeface="Arial"/>
            </a:rPr>
            <a:t>Not all grinding systems require a finite value of d</a:t>
          </a:r>
          <a:r>
            <a:rPr lang="en-US" cap="none" sz="1000" b="1" i="0" u="none" baseline="-25000">
              <a:latin typeface="Arial"/>
              <a:ea typeface="Arial"/>
              <a:cs typeface="Arial"/>
            </a:rPr>
            <a:t>crit</a:t>
          </a:r>
          <a:r>
            <a:rPr lang="en-US" cap="none" sz="1000" b="0" i="0" u="none" baseline="0">
              <a:latin typeface="Arial"/>
              <a:ea typeface="Arial"/>
              <a:cs typeface="Arial"/>
            </a:rPr>
            <a:t>; whenever the estimated value of this parameter tends to be greater than the top mesh opening, set it fix at 100,000 and remove it from the </a:t>
          </a:r>
          <a:r>
            <a:rPr lang="en-US" cap="none" sz="1000" b="1" i="0" u="none" baseline="0">
              <a:latin typeface="Arial"/>
              <a:ea typeface="Arial"/>
              <a:cs typeface="Arial"/>
            </a:rPr>
            <a:t>By Changing</a:t>
          </a:r>
          <a:r>
            <a:rPr lang="en-US" cap="none" sz="1000" b="0" i="0" u="none" baseline="0">
              <a:latin typeface="Arial"/>
              <a:ea typeface="Arial"/>
              <a:cs typeface="Arial"/>
            </a:rPr>
            <a:t> list.
4. If the step above does not provide satisfactory model fits, then you should add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to the list of adjustable parameters and eventually, include </a:t>
          </a:r>
          <a:r>
            <a:rPr lang="en-US" cap="none" sz="1000" b="0" i="0" u="none" baseline="0">
              <a:latin typeface="Symbol"/>
              <a:ea typeface="Symbol"/>
              <a:cs typeface="Symbol"/>
            </a:rPr>
            <a:t>b</a:t>
          </a:r>
          <a:r>
            <a:rPr lang="en-US" cap="none" sz="1000" b="0" i="0" u="none" baseline="-25000">
              <a:latin typeface="Arial"/>
              <a:ea typeface="Arial"/>
              <a:cs typeface="Arial"/>
            </a:rPr>
            <a:t>01</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and </a:t>
          </a:r>
          <a:r>
            <a:rPr lang="en-US" cap="none" sz="1000" b="0" i="0" u="none" baseline="0">
              <a:latin typeface="Symbol"/>
              <a:ea typeface="Symbol"/>
              <a:cs typeface="Symbol"/>
            </a:rPr>
            <a:t>a</a:t>
          </a:r>
          <a:r>
            <a:rPr lang="en-US" cap="none" sz="1000" b="0" i="0" u="none" baseline="-25000">
              <a:latin typeface="Arial"/>
              <a:ea typeface="Arial"/>
              <a:cs typeface="Arial"/>
            </a:rPr>
            <a:t>12</a:t>
          </a:r>
          <a:r>
            <a:rPr lang="en-US" cap="none" sz="1000" b="0" i="0" u="none" baseline="0">
              <a:latin typeface="Arial"/>
              <a:ea typeface="Arial"/>
              <a:cs typeface="Arial"/>
            </a:rPr>
            <a:t> (one at a time, in that order). If the model fits are still not satisfactory, there is a good chance the data contains significant experimental errors and should be discarded.
5. Never run a search for </a:t>
          </a:r>
          <a:r>
            <a:rPr lang="en-US" cap="none" sz="1000" b="0" i="0" u="none" baseline="0">
              <a:latin typeface="Symbol"/>
              <a:ea typeface="Symbol"/>
              <a:cs typeface="Symbol"/>
            </a:rPr>
            <a:t>a</a:t>
          </a:r>
          <a:r>
            <a:rPr lang="en-US" cap="none" sz="1000" b="0" i="0" u="none" baseline="-25000">
              <a:latin typeface="Arial"/>
              <a:ea typeface="Arial"/>
              <a:cs typeface="Arial"/>
            </a:rPr>
            <a:t>2</a:t>
          </a:r>
          <a:r>
            <a:rPr lang="en-US" cap="none" sz="1000" b="0" i="0" u="none" baseline="0">
              <a:latin typeface="Arial"/>
              <a:ea typeface="Arial"/>
              <a:cs typeface="Arial"/>
            </a:rPr>
            <a:t> or </a:t>
          </a:r>
          <a:r>
            <a:rPr lang="en-US" cap="none" sz="1000" b="0" i="0" u="none" baseline="0">
              <a:latin typeface="Symbol"/>
              <a:ea typeface="Symbol"/>
              <a:cs typeface="Symbol"/>
            </a:rPr>
            <a:t>b</a:t>
          </a:r>
          <a:r>
            <a:rPr lang="en-US" cap="none" sz="1000" b="0" i="0" u="none" baseline="-25000">
              <a:latin typeface="Arial"/>
              <a:ea typeface="Arial"/>
              <a:cs typeface="Arial"/>
            </a:rPr>
            <a:t>2</a:t>
          </a:r>
          <a:r>
            <a:rPr lang="en-US" cap="none" sz="1000" b="0" i="0" u="none" baseline="0">
              <a:latin typeface="Arial"/>
              <a:ea typeface="Arial"/>
              <a:cs typeface="Arial"/>
            </a:rPr>
            <a:t>, as these parameters have little effect on the objective function and may just confuse the search algorithm. When in doubt, simply try assigning them values between 2 and 4 and observe the response of the </a:t>
          </a:r>
          <a:r>
            <a:rPr lang="en-US" cap="none" sz="1000" b="1" i="0" u="none" baseline="0">
              <a:latin typeface="Arial"/>
              <a:ea typeface="Arial"/>
              <a:cs typeface="Arial"/>
            </a:rPr>
            <a:t>Objective Function</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In other words, these two parameters are better optimized by a very basic trial-and-error procedure, not via the </a:t>
          </a:r>
          <a:r>
            <a:rPr lang="en-US" cap="none" sz="1000" b="1" i="0" u="none" baseline="0">
              <a:latin typeface="Arial"/>
              <a:ea typeface="Arial"/>
              <a:cs typeface="Arial"/>
            </a:rPr>
            <a:t>Solver</a:t>
          </a:r>
          <a:r>
            <a:rPr lang="en-US" cap="none" sz="1000" b="0" i="0" u="none" baseline="0">
              <a:latin typeface="Arial"/>
              <a:ea typeface="Arial"/>
              <a:cs typeface="Arial"/>
            </a:rPr>
            <a:t> routine.
</a:t>
          </a:r>
          <a:r>
            <a:rPr lang="en-US" cap="none" sz="1000" b="1" i="0" u="none" baseline="0">
              <a:latin typeface="Arial"/>
              <a:ea typeface="Arial"/>
              <a:cs typeface="Arial"/>
            </a:rPr>
            <a:t/>
          </a:r>
        </a:p>
      </xdr:txBody>
    </xdr:sp>
    <xdr:clientData/>
  </xdr:twoCellAnchor>
  <xdr:twoCellAnchor editAs="oneCell">
    <xdr:from>
      <xdr:col>9</xdr:col>
      <xdr:colOff>485775</xdr:colOff>
      <xdr:row>0</xdr:row>
      <xdr:rowOff>28575</xdr:rowOff>
    </xdr:from>
    <xdr:to>
      <xdr:col>12</xdr:col>
      <xdr:colOff>0</xdr:colOff>
      <xdr:row>2</xdr:row>
      <xdr:rowOff>104775</xdr:rowOff>
    </xdr:to>
    <xdr:pic>
      <xdr:nvPicPr>
        <xdr:cNvPr id="4" name="Picture 6"/>
        <xdr:cNvPicPr preferRelativeResize="1">
          <a:picLocks noChangeAspect="1"/>
        </xdr:cNvPicPr>
      </xdr:nvPicPr>
      <xdr:blipFill>
        <a:blip r:embed="rId1"/>
        <a:stretch>
          <a:fillRect/>
        </a:stretch>
      </xdr:blipFill>
      <xdr:spPr>
        <a:xfrm>
          <a:off x="5476875" y="28575"/>
          <a:ext cx="1343025" cy="400050"/>
        </a:xfrm>
        <a:prstGeom prst="rect">
          <a:avLst/>
        </a:prstGeom>
        <a:noFill/>
        <a:ln w="9525" cmpd="sng">
          <a:noFill/>
        </a:ln>
      </xdr:spPr>
    </xdr:pic>
    <xdr:clientData/>
  </xdr:twoCellAnchor>
  <xdr:twoCellAnchor editAs="oneCell">
    <xdr:from>
      <xdr:col>9</xdr:col>
      <xdr:colOff>485775</xdr:colOff>
      <xdr:row>55</xdr:row>
      <xdr:rowOff>28575</xdr:rowOff>
    </xdr:from>
    <xdr:to>
      <xdr:col>12</xdr:col>
      <xdr:colOff>0</xdr:colOff>
      <xdr:row>57</xdr:row>
      <xdr:rowOff>104775</xdr:rowOff>
    </xdr:to>
    <xdr:pic>
      <xdr:nvPicPr>
        <xdr:cNvPr id="5" name="Picture 7"/>
        <xdr:cNvPicPr preferRelativeResize="1">
          <a:picLocks noChangeAspect="1"/>
        </xdr:cNvPicPr>
      </xdr:nvPicPr>
      <xdr:blipFill>
        <a:blip r:embed="rId1"/>
        <a:stretch>
          <a:fillRect/>
        </a:stretch>
      </xdr:blipFill>
      <xdr:spPr>
        <a:xfrm>
          <a:off x="5476875" y="8934450"/>
          <a:ext cx="1343025" cy="400050"/>
        </a:xfrm>
        <a:prstGeom prst="rect">
          <a:avLst/>
        </a:prstGeom>
        <a:noFill/>
        <a:ln w="9525" cmpd="sng">
          <a:noFill/>
        </a:ln>
      </xdr:spPr>
    </xdr:pic>
    <xdr:clientData/>
  </xdr:twoCellAnchor>
  <xdr:twoCellAnchor editAs="oneCell">
    <xdr:from>
      <xdr:col>9</xdr:col>
      <xdr:colOff>485775</xdr:colOff>
      <xdr:row>110</xdr:row>
      <xdr:rowOff>28575</xdr:rowOff>
    </xdr:from>
    <xdr:to>
      <xdr:col>12</xdr:col>
      <xdr:colOff>0</xdr:colOff>
      <xdr:row>112</xdr:row>
      <xdr:rowOff>104775</xdr:rowOff>
    </xdr:to>
    <xdr:pic>
      <xdr:nvPicPr>
        <xdr:cNvPr id="6" name="Picture 8"/>
        <xdr:cNvPicPr preferRelativeResize="1">
          <a:picLocks noChangeAspect="1"/>
        </xdr:cNvPicPr>
      </xdr:nvPicPr>
      <xdr:blipFill>
        <a:blip r:embed="rId1"/>
        <a:stretch>
          <a:fillRect/>
        </a:stretch>
      </xdr:blipFill>
      <xdr:spPr>
        <a:xfrm>
          <a:off x="5476875" y="17840325"/>
          <a:ext cx="1343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0</xdr:rowOff>
    </xdr:from>
    <xdr:to>
      <xdr:col>15</xdr:col>
      <xdr:colOff>542925</xdr:colOff>
      <xdr:row>25</xdr:row>
      <xdr:rowOff>85725</xdr:rowOff>
    </xdr:to>
    <xdr:graphicFrame>
      <xdr:nvGraphicFramePr>
        <xdr:cNvPr id="1" name="Chart 1"/>
        <xdr:cNvGraphicFramePr/>
      </xdr:nvGraphicFramePr>
      <xdr:xfrm>
        <a:off x="2847975" y="771525"/>
        <a:ext cx="5743575" cy="3486150"/>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38100</xdr:colOff>
      <xdr:row>1</xdr:row>
      <xdr:rowOff>57150</xdr:rowOff>
    </xdr:from>
    <xdr:to>
      <xdr:col>16</xdr:col>
      <xdr:colOff>9525</xdr:colOff>
      <xdr:row>2</xdr:row>
      <xdr:rowOff>76200</xdr:rowOff>
    </xdr:to>
    <xdr:pic>
      <xdr:nvPicPr>
        <xdr:cNvPr id="2" name="Picture 5"/>
        <xdr:cNvPicPr preferRelativeResize="1">
          <a:picLocks noChangeAspect="1"/>
        </xdr:cNvPicPr>
      </xdr:nvPicPr>
      <xdr:blipFill>
        <a:blip r:embed="rId2"/>
        <a:stretch>
          <a:fillRect/>
        </a:stretch>
      </xdr:blipFill>
      <xdr:spPr>
        <a:xfrm>
          <a:off x="7505700" y="152400"/>
          <a:ext cx="1133475" cy="333375"/>
        </a:xfrm>
        <a:prstGeom prst="rect">
          <a:avLst/>
        </a:prstGeom>
        <a:noFill/>
        <a:ln w="9525" cmpd="sng">
          <a:noFill/>
        </a:ln>
      </xdr:spPr>
    </xdr:pic>
    <xdr:clientData/>
  </xdr:twoCellAnchor>
  <xdr:twoCellAnchor editAs="oneCell">
    <xdr:from>
      <xdr:col>14</xdr:col>
      <xdr:colOff>28575</xdr:colOff>
      <xdr:row>31</xdr:row>
      <xdr:rowOff>57150</xdr:rowOff>
    </xdr:from>
    <xdr:to>
      <xdr:col>16</xdr:col>
      <xdr:colOff>0</xdr:colOff>
      <xdr:row>32</xdr:row>
      <xdr:rowOff>114300</xdr:rowOff>
    </xdr:to>
    <xdr:pic>
      <xdr:nvPicPr>
        <xdr:cNvPr id="3" name="Picture 6"/>
        <xdr:cNvPicPr preferRelativeResize="1">
          <a:picLocks noChangeAspect="1"/>
        </xdr:cNvPicPr>
      </xdr:nvPicPr>
      <xdr:blipFill>
        <a:blip r:embed="rId2"/>
        <a:stretch>
          <a:fillRect/>
        </a:stretch>
      </xdr:blipFill>
      <xdr:spPr>
        <a:xfrm>
          <a:off x="7496175" y="5086350"/>
          <a:ext cx="11334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238125</xdr:colOff>
      <xdr:row>1</xdr:row>
      <xdr:rowOff>57150</xdr:rowOff>
    </xdr:from>
    <xdr:to>
      <xdr:col>18</xdr:col>
      <xdr:colOff>9525</xdr:colOff>
      <xdr:row>2</xdr:row>
      <xdr:rowOff>114300</xdr:rowOff>
    </xdr:to>
    <xdr:pic>
      <xdr:nvPicPr>
        <xdr:cNvPr id="1" name="Picture 164"/>
        <xdr:cNvPicPr preferRelativeResize="1">
          <a:picLocks noChangeAspect="1"/>
        </xdr:cNvPicPr>
      </xdr:nvPicPr>
      <xdr:blipFill>
        <a:blip r:embed="rId1"/>
        <a:stretch>
          <a:fillRect/>
        </a:stretch>
      </xdr:blipFill>
      <xdr:spPr>
        <a:xfrm>
          <a:off x="8667750" y="152400"/>
          <a:ext cx="11334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419100</xdr:colOff>
      <xdr:row>1</xdr:row>
      <xdr:rowOff>142875</xdr:rowOff>
    </xdr:to>
    <xdr:pic>
      <xdr:nvPicPr>
        <xdr:cNvPr id="1" name="Picture 1"/>
        <xdr:cNvPicPr preferRelativeResize="1">
          <a:picLocks noChangeAspect="1"/>
        </xdr:cNvPicPr>
      </xdr:nvPicPr>
      <xdr:blipFill>
        <a:blip r:embed="rId1"/>
        <a:stretch>
          <a:fillRect/>
        </a:stretch>
      </xdr:blipFill>
      <xdr:spPr>
        <a:xfrm>
          <a:off x="180975" y="57150"/>
          <a:ext cx="11334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d_Mill%20Siz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Data_File"/>
      <sheetName val="Reports"/>
      <sheetName val="SiE"/>
      <sheetName val="Bij"/>
      <sheetName val="J&amp;T"/>
      <sheetName val="C"/>
      <sheetName val="Mill"/>
      <sheetName val="About ..."/>
      <sheetName val="Flowsheet"/>
    </sheetNames>
    <sheetDataSet>
      <sheetData sheetId="5">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112"/>
  <sheetViews>
    <sheetView workbookViewId="0" topLeftCell="A1">
      <selection activeCell="A1" sqref="A1"/>
    </sheetView>
  </sheetViews>
  <sheetFormatPr defaultColWidth="11.421875" defaultRowHeight="12.75"/>
  <cols>
    <col min="1" max="1" width="1.7109375" style="0" customWidth="1"/>
    <col min="2" max="12" width="9.140625" style="0" customWidth="1"/>
    <col min="13" max="13" width="1.7109375" style="0" customWidth="1"/>
    <col min="14" max="16384" width="9.140625" style="0" customWidth="1"/>
  </cols>
  <sheetData>
    <row r="1" ht="12.75">
      <c r="B1" s="152" t="s">
        <v>162</v>
      </c>
    </row>
    <row r="2" ht="12.75">
      <c r="B2" s="72" t="s">
        <v>75</v>
      </c>
    </row>
    <row r="56" ht="12.75">
      <c r="B56" s="152" t="s">
        <v>162</v>
      </c>
    </row>
    <row r="57" ht="12.75">
      <c r="B57" s="72" t="s">
        <v>75</v>
      </c>
    </row>
    <row r="111" ht="12.75">
      <c r="B111" s="152" t="s">
        <v>162</v>
      </c>
    </row>
    <row r="112" ht="12.75">
      <c r="B112" s="72" t="s">
        <v>75</v>
      </c>
    </row>
  </sheetData>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B2:Q64"/>
  <sheetViews>
    <sheetView tabSelected="1" zoomScale="130" zoomScaleNormal="130" workbookViewId="0" topLeftCell="A4">
      <selection activeCell="E20" sqref="E20:E22"/>
    </sheetView>
  </sheetViews>
  <sheetFormatPr defaultColWidth="11.421875" defaultRowHeight="12.75"/>
  <cols>
    <col min="1" max="2" width="1.7109375" style="0" customWidth="1"/>
    <col min="3" max="3" width="8.7109375" style="0" customWidth="1"/>
    <col min="4" max="5" width="10.7109375" style="0" customWidth="1"/>
    <col min="6" max="16" width="8.7109375" style="0" customWidth="1"/>
    <col min="17" max="17" width="1.7109375" style="0" customWidth="1"/>
    <col min="18" max="16384" width="9.140625" style="0" customWidth="1"/>
  </cols>
  <sheetData>
    <row r="1" ht="7.5" customHeight="1" thickBot="1"/>
    <row r="2" spans="2:17" ht="24.75" customHeight="1" thickTop="1">
      <c r="B2" s="44"/>
      <c r="C2" s="73" t="s">
        <v>161</v>
      </c>
      <c r="D2" s="45"/>
      <c r="E2" s="45"/>
      <c r="F2" s="45"/>
      <c r="G2" s="45"/>
      <c r="H2" s="45"/>
      <c r="I2" s="45"/>
      <c r="J2" s="45"/>
      <c r="K2" s="45"/>
      <c r="L2" s="45"/>
      <c r="M2" s="45"/>
      <c r="N2" s="45"/>
      <c r="O2" s="45"/>
      <c r="P2" s="45"/>
      <c r="Q2" s="46"/>
    </row>
    <row r="3" spans="2:17" ht="15.75">
      <c r="B3" s="47"/>
      <c r="C3" s="187" t="s">
        <v>82</v>
      </c>
      <c r="D3" s="187"/>
      <c r="E3" s="187"/>
      <c r="F3" s="187"/>
      <c r="G3" s="187"/>
      <c r="H3" s="187"/>
      <c r="I3" s="187"/>
      <c r="J3" s="187"/>
      <c r="K3" s="187"/>
      <c r="L3" s="187"/>
      <c r="M3" s="187"/>
      <c r="N3" s="187"/>
      <c r="O3" s="187"/>
      <c r="P3" s="187"/>
      <c r="Q3" s="33"/>
    </row>
    <row r="4" spans="2:17" ht="12.75">
      <c r="B4" s="47"/>
      <c r="C4" s="34"/>
      <c r="D4" s="34"/>
      <c r="E4" s="34"/>
      <c r="F4" s="34"/>
      <c r="G4" s="34"/>
      <c r="H4" s="34"/>
      <c r="I4" s="34"/>
      <c r="J4" s="34"/>
      <c r="K4" s="34"/>
      <c r="L4" s="34"/>
      <c r="M4" s="34"/>
      <c r="N4" s="34"/>
      <c r="O4" s="34"/>
      <c r="P4" s="34"/>
      <c r="Q4" s="33"/>
    </row>
    <row r="5" spans="2:17" ht="12.75">
      <c r="B5" s="47"/>
      <c r="C5" s="48" t="s">
        <v>41</v>
      </c>
      <c r="D5" s="34"/>
      <c r="E5" s="98">
        <f>Data_File!R5</f>
        <v>1</v>
      </c>
      <c r="F5" s="34"/>
      <c r="G5" s="34"/>
      <c r="H5" s="34"/>
      <c r="I5" s="34"/>
      <c r="J5" s="34"/>
      <c r="K5" s="34"/>
      <c r="L5" s="34"/>
      <c r="M5" s="34"/>
      <c r="N5" s="34"/>
      <c r="O5" s="34"/>
      <c r="P5" s="34"/>
      <c r="Q5" s="33"/>
    </row>
    <row r="6" spans="2:17" ht="12.75">
      <c r="B6" s="47"/>
      <c r="C6" s="34"/>
      <c r="D6" s="34"/>
      <c r="E6" s="34"/>
      <c r="F6" s="34"/>
      <c r="G6" s="34"/>
      <c r="H6" s="34"/>
      <c r="I6" s="34"/>
      <c r="J6" s="34"/>
      <c r="K6" s="34"/>
      <c r="L6" s="34"/>
      <c r="M6" s="34"/>
      <c r="N6" s="34"/>
      <c r="O6" s="34"/>
      <c r="P6" s="34"/>
      <c r="Q6" s="33"/>
    </row>
    <row r="7" spans="2:17" ht="12.75">
      <c r="B7" s="47"/>
      <c r="C7" s="48"/>
      <c r="D7" s="34"/>
      <c r="E7" s="34"/>
      <c r="F7" s="34"/>
      <c r="G7" s="34"/>
      <c r="H7" s="34"/>
      <c r="I7" s="34"/>
      <c r="J7" s="34"/>
      <c r="K7" s="34"/>
      <c r="L7" s="34"/>
      <c r="M7" s="34"/>
      <c r="N7" s="34"/>
      <c r="O7" s="34"/>
      <c r="P7" s="34"/>
      <c r="Q7" s="33"/>
    </row>
    <row r="8" spans="2:17" ht="12.75">
      <c r="B8" s="47"/>
      <c r="C8" s="48" t="s">
        <v>83</v>
      </c>
      <c r="D8" s="34"/>
      <c r="E8" s="34"/>
      <c r="F8" s="49"/>
      <c r="G8" s="49"/>
      <c r="H8" s="34"/>
      <c r="I8" s="34"/>
      <c r="J8" s="34"/>
      <c r="K8" s="34"/>
      <c r="L8" s="34"/>
      <c r="M8" s="34"/>
      <c r="N8" s="34"/>
      <c r="O8" s="34"/>
      <c r="P8" s="34"/>
      <c r="Q8" s="33"/>
    </row>
    <row r="9" spans="2:17" ht="12.75">
      <c r="B9" s="47"/>
      <c r="C9" s="48"/>
      <c r="D9" s="34"/>
      <c r="E9" s="34"/>
      <c r="F9" s="49"/>
      <c r="G9" s="49"/>
      <c r="H9" s="34"/>
      <c r="I9" s="34"/>
      <c r="J9" s="34"/>
      <c r="K9" s="34"/>
      <c r="L9" s="34"/>
      <c r="M9" s="34"/>
      <c r="N9" s="34"/>
      <c r="O9" s="34"/>
      <c r="P9" s="34"/>
      <c r="Q9" s="33"/>
    </row>
    <row r="10" spans="2:17" ht="12.75">
      <c r="B10" s="47"/>
      <c r="C10" s="34" t="s">
        <v>85</v>
      </c>
      <c r="D10" s="34"/>
      <c r="E10" s="164">
        <v>0.0028704855102898836</v>
      </c>
      <c r="F10" s="34"/>
      <c r="G10" s="34"/>
      <c r="H10" s="34"/>
      <c r="I10" s="34"/>
      <c r="J10" s="34"/>
      <c r="K10" s="34"/>
      <c r="L10" s="34"/>
      <c r="M10" s="34"/>
      <c r="N10" s="34"/>
      <c r="O10" s="34"/>
      <c r="P10" s="34"/>
      <c r="Q10" s="33"/>
    </row>
    <row r="11" spans="2:17" ht="12.75">
      <c r="B11" s="47"/>
      <c r="C11" s="34" t="s">
        <v>86</v>
      </c>
      <c r="D11" s="34"/>
      <c r="E11" s="227">
        <v>0.8</v>
      </c>
      <c r="F11" s="50"/>
      <c r="G11" s="50"/>
      <c r="H11" s="34"/>
      <c r="I11" s="34"/>
      <c r="J11" s="34"/>
      <c r="K11" s="34"/>
      <c r="L11" s="34"/>
      <c r="M11" s="34"/>
      <c r="N11" s="34"/>
      <c r="O11" s="34"/>
      <c r="P11" s="34"/>
      <c r="Q11" s="33"/>
    </row>
    <row r="12" spans="2:17" ht="12.75">
      <c r="B12" s="47"/>
      <c r="C12" s="34" t="s">
        <v>87</v>
      </c>
      <c r="D12" s="34"/>
      <c r="E12" s="228">
        <v>3.5</v>
      </c>
      <c r="F12" s="50"/>
      <c r="G12" s="50"/>
      <c r="H12" s="34"/>
      <c r="I12" s="34"/>
      <c r="J12" s="34"/>
      <c r="K12" s="34"/>
      <c r="L12" s="34"/>
      <c r="M12" s="34"/>
      <c r="N12" s="34"/>
      <c r="O12" s="34"/>
      <c r="P12" s="34"/>
      <c r="Q12" s="33"/>
    </row>
    <row r="13" spans="2:17" ht="12.75">
      <c r="B13" s="47"/>
      <c r="C13" s="34" t="s">
        <v>88</v>
      </c>
      <c r="D13" s="34"/>
      <c r="E13" s="162">
        <v>6098.2545106934085</v>
      </c>
      <c r="F13" s="51"/>
      <c r="G13" s="51"/>
      <c r="H13" s="34"/>
      <c r="I13" s="34"/>
      <c r="J13" s="34"/>
      <c r="K13" s="34"/>
      <c r="L13" s="34"/>
      <c r="M13" s="34"/>
      <c r="N13" s="34"/>
      <c r="O13" s="34"/>
      <c r="P13" s="34"/>
      <c r="Q13" s="33"/>
    </row>
    <row r="14" spans="2:17" ht="12.75">
      <c r="B14" s="47"/>
      <c r="C14" s="52" t="s">
        <v>89</v>
      </c>
      <c r="D14" s="34"/>
      <c r="E14" s="34"/>
      <c r="F14" s="51"/>
      <c r="G14" s="51"/>
      <c r="H14" s="34"/>
      <c r="I14" s="34"/>
      <c r="J14" s="34"/>
      <c r="K14" s="34"/>
      <c r="L14" s="34"/>
      <c r="M14" s="34"/>
      <c r="N14" s="34"/>
      <c r="O14" s="34"/>
      <c r="P14" s="34"/>
      <c r="Q14" s="33"/>
    </row>
    <row r="15" spans="2:17" ht="12.75">
      <c r="B15" s="47"/>
      <c r="C15" s="34" t="s">
        <v>90</v>
      </c>
      <c r="D15" s="34"/>
      <c r="E15" s="229">
        <v>0</v>
      </c>
      <c r="F15" s="53"/>
      <c r="G15" s="53"/>
      <c r="H15" s="34"/>
      <c r="I15" s="34"/>
      <c r="J15" s="34"/>
      <c r="K15" s="34"/>
      <c r="L15" s="34"/>
      <c r="M15" s="34"/>
      <c r="N15" s="34"/>
      <c r="O15" s="34"/>
      <c r="P15" s="34"/>
      <c r="Q15" s="33"/>
    </row>
    <row r="16" spans="2:17" ht="12.75">
      <c r="B16" s="47"/>
      <c r="C16" s="34" t="s">
        <v>91</v>
      </c>
      <c r="D16" s="34"/>
      <c r="E16" s="227">
        <v>1</v>
      </c>
      <c r="F16" s="54"/>
      <c r="G16" s="54"/>
      <c r="H16" s="34"/>
      <c r="I16" s="34"/>
      <c r="J16" s="34"/>
      <c r="K16" s="34"/>
      <c r="L16" s="34"/>
      <c r="M16" s="34"/>
      <c r="N16" s="34"/>
      <c r="O16" s="34"/>
      <c r="P16" s="34"/>
      <c r="Q16" s="33"/>
    </row>
    <row r="17" spans="2:17" ht="12.75">
      <c r="B17" s="47"/>
      <c r="C17" s="34"/>
      <c r="D17" s="34"/>
      <c r="E17" s="34"/>
      <c r="F17" s="34"/>
      <c r="G17" s="34"/>
      <c r="H17" s="34"/>
      <c r="I17" s="34"/>
      <c r="J17" s="34"/>
      <c r="K17" s="34"/>
      <c r="L17" s="34"/>
      <c r="M17" s="34"/>
      <c r="N17" s="34"/>
      <c r="O17" s="34"/>
      <c r="P17" s="34"/>
      <c r="Q17" s="33"/>
    </row>
    <row r="18" spans="2:17" ht="12.75">
      <c r="B18" s="47"/>
      <c r="C18" s="52" t="s">
        <v>84</v>
      </c>
      <c r="D18" s="34"/>
      <c r="E18" s="55"/>
      <c r="F18" s="51"/>
      <c r="G18" s="51"/>
      <c r="H18" s="34"/>
      <c r="I18" s="34"/>
      <c r="J18" s="34"/>
      <c r="K18" s="34"/>
      <c r="L18" s="34"/>
      <c r="M18" s="34"/>
      <c r="N18" s="34"/>
      <c r="O18" s="34"/>
      <c r="P18" s="34"/>
      <c r="Q18" s="33"/>
    </row>
    <row r="19" spans="2:17" ht="12.75">
      <c r="B19" s="47"/>
      <c r="C19" s="52"/>
      <c r="D19" s="34"/>
      <c r="E19" s="55"/>
      <c r="F19" s="51"/>
      <c r="G19" s="51"/>
      <c r="H19" s="34"/>
      <c r="I19" s="34"/>
      <c r="J19" s="34"/>
      <c r="K19" s="34"/>
      <c r="L19" s="34"/>
      <c r="M19" s="34"/>
      <c r="N19" s="34"/>
      <c r="O19" s="34"/>
      <c r="P19" s="34"/>
      <c r="Q19" s="33"/>
    </row>
    <row r="20" spans="2:17" ht="12.75">
      <c r="B20" s="47"/>
      <c r="C20" s="34" t="s">
        <v>92</v>
      </c>
      <c r="D20" s="34"/>
      <c r="E20" s="167">
        <v>0.45513534597654864</v>
      </c>
      <c r="F20" s="51"/>
      <c r="G20" s="51"/>
      <c r="H20" s="34"/>
      <c r="I20" s="34"/>
      <c r="J20" s="34"/>
      <c r="K20" s="34"/>
      <c r="L20" s="34"/>
      <c r="M20" s="34"/>
      <c r="N20" s="34"/>
      <c r="O20" s="34"/>
      <c r="P20" s="34"/>
      <c r="Q20" s="33"/>
    </row>
    <row r="21" spans="2:17" ht="12.75">
      <c r="B21" s="47"/>
      <c r="C21" s="34" t="s">
        <v>93</v>
      </c>
      <c r="D21" s="34"/>
      <c r="E21" s="158">
        <v>0.48673652396097705</v>
      </c>
      <c r="F21" s="51"/>
      <c r="G21" s="51"/>
      <c r="H21" s="34"/>
      <c r="I21" s="34"/>
      <c r="J21" s="34"/>
      <c r="K21" s="34"/>
      <c r="L21" s="34"/>
      <c r="M21" s="34"/>
      <c r="N21" s="34"/>
      <c r="O21" s="34"/>
      <c r="P21" s="34"/>
      <c r="Q21" s="33"/>
    </row>
    <row r="22" spans="2:17" ht="12.75">
      <c r="B22" s="47"/>
      <c r="C22" s="34" t="s">
        <v>94</v>
      </c>
      <c r="D22" s="34"/>
      <c r="E22" s="228">
        <v>4</v>
      </c>
      <c r="F22" s="53"/>
      <c r="G22" s="53"/>
      <c r="H22" s="34"/>
      <c r="I22" s="34"/>
      <c r="J22" s="34"/>
      <c r="K22" s="34"/>
      <c r="L22" s="34"/>
      <c r="M22" s="34"/>
      <c r="N22" s="34"/>
      <c r="O22" s="34"/>
      <c r="P22" s="34"/>
      <c r="Q22" s="33"/>
    </row>
    <row r="23" spans="2:17" ht="12.75">
      <c r="B23" s="47"/>
      <c r="C23" s="52" t="s">
        <v>89</v>
      </c>
      <c r="D23" s="34"/>
      <c r="E23" s="34"/>
      <c r="F23" s="53"/>
      <c r="G23" s="53"/>
      <c r="H23" s="34"/>
      <c r="I23" s="34"/>
      <c r="J23" s="34"/>
      <c r="K23" s="34"/>
      <c r="L23" s="34"/>
      <c r="M23" s="34"/>
      <c r="N23" s="34"/>
      <c r="O23" s="34"/>
      <c r="P23" s="34"/>
      <c r="Q23" s="33"/>
    </row>
    <row r="24" spans="2:17" ht="12.75">
      <c r="B24" s="47"/>
      <c r="C24" s="34" t="s">
        <v>95</v>
      </c>
      <c r="D24" s="34"/>
      <c r="E24" s="227">
        <v>0</v>
      </c>
      <c r="F24" s="34"/>
      <c r="G24" s="34"/>
      <c r="H24" s="34"/>
      <c r="I24" s="34"/>
      <c r="J24" s="34"/>
      <c r="K24" s="34"/>
      <c r="L24" s="34"/>
      <c r="M24" s="34"/>
      <c r="N24" s="34"/>
      <c r="O24" s="34"/>
      <c r="P24" s="34"/>
      <c r="Q24" s="33"/>
    </row>
    <row r="25" spans="2:17" ht="12.75">
      <c r="B25" s="47"/>
      <c r="C25" s="34"/>
      <c r="D25" s="34"/>
      <c r="E25" s="34"/>
      <c r="F25" s="34"/>
      <c r="G25" s="34"/>
      <c r="H25" s="34"/>
      <c r="I25" s="34"/>
      <c r="J25" s="34"/>
      <c r="K25" s="34"/>
      <c r="L25" s="34"/>
      <c r="M25" s="34"/>
      <c r="N25" s="34"/>
      <c r="O25" s="34"/>
      <c r="P25" s="34"/>
      <c r="Q25" s="33"/>
    </row>
    <row r="26" spans="2:17" ht="12.75">
      <c r="B26" s="47"/>
      <c r="C26" s="56"/>
      <c r="D26" s="34"/>
      <c r="E26" s="34"/>
      <c r="F26" s="34"/>
      <c r="G26" s="34"/>
      <c r="H26" s="34"/>
      <c r="I26" s="34"/>
      <c r="J26" s="34"/>
      <c r="K26" s="34"/>
      <c r="L26" s="34"/>
      <c r="M26" s="34"/>
      <c r="N26" s="34"/>
      <c r="O26" s="34"/>
      <c r="P26" s="34"/>
      <c r="Q26" s="33"/>
    </row>
    <row r="27" spans="2:17" ht="13.5" thickBot="1">
      <c r="B27" s="47"/>
      <c r="C27" s="52" t="s">
        <v>44</v>
      </c>
      <c r="D27" s="34"/>
      <c r="E27" s="16">
        <f>(Data_File!R46/Data_File!Q46)^0.5</f>
        <v>0.7177917713724178</v>
      </c>
      <c r="F27" s="34"/>
      <c r="G27" s="188" t="s">
        <v>96</v>
      </c>
      <c r="H27" s="189"/>
      <c r="I27" s="189"/>
      <c r="J27" s="189"/>
      <c r="K27" s="189"/>
      <c r="L27" s="189"/>
      <c r="M27" s="189"/>
      <c r="N27" s="189"/>
      <c r="O27" s="189"/>
      <c r="P27" s="190"/>
      <c r="Q27" s="33"/>
    </row>
    <row r="28" spans="2:17" ht="13.5" thickBot="1">
      <c r="B28" s="57"/>
      <c r="C28" s="38"/>
      <c r="D28" s="38"/>
      <c r="E28" s="38"/>
      <c r="F28" s="38"/>
      <c r="G28" s="38"/>
      <c r="H28" s="38"/>
      <c r="I28" s="38"/>
      <c r="J28" s="38"/>
      <c r="K28" s="38"/>
      <c r="L28" s="38"/>
      <c r="M28" s="38"/>
      <c r="N28" s="38"/>
      <c r="O28" s="38"/>
      <c r="P28" s="38"/>
      <c r="Q28" s="39"/>
    </row>
    <row r="29" ht="7.5" customHeight="1" thickTop="1"/>
    <row r="30" ht="12.75">
      <c r="C30" t="s">
        <v>76</v>
      </c>
    </row>
    <row r="31" ht="7.5" customHeight="1" thickBot="1"/>
    <row r="32" spans="2:17" ht="21.75" thickTop="1">
      <c r="B32" s="100"/>
      <c r="C32" s="101" t="s">
        <v>77</v>
      </c>
      <c r="D32" s="102"/>
      <c r="E32" s="102"/>
      <c r="F32" s="102"/>
      <c r="G32" s="102"/>
      <c r="H32" s="102"/>
      <c r="I32" s="102"/>
      <c r="J32" s="102"/>
      <c r="K32" s="102"/>
      <c r="L32" s="102"/>
      <c r="M32" s="102"/>
      <c r="N32" s="102"/>
      <c r="O32" s="102"/>
      <c r="P32" s="102"/>
      <c r="Q32" s="103"/>
    </row>
    <row r="33" spans="2:17" ht="15.75">
      <c r="B33" s="104"/>
      <c r="C33" s="191" t="s">
        <v>147</v>
      </c>
      <c r="D33" s="191"/>
      <c r="E33" s="191"/>
      <c r="F33" s="191"/>
      <c r="G33" s="191"/>
      <c r="H33" s="191"/>
      <c r="I33" s="191"/>
      <c r="J33" s="191"/>
      <c r="K33" s="191"/>
      <c r="L33" s="191"/>
      <c r="M33" s="191"/>
      <c r="N33" s="191"/>
      <c r="O33" s="191"/>
      <c r="P33" s="191"/>
      <c r="Q33" s="105"/>
    </row>
    <row r="34" spans="2:17" ht="12.75">
      <c r="B34" s="104"/>
      <c r="C34" s="106"/>
      <c r="D34" s="106"/>
      <c r="E34" s="106"/>
      <c r="F34" s="106"/>
      <c r="G34" s="106"/>
      <c r="H34" s="106"/>
      <c r="I34" s="106"/>
      <c r="J34" s="106"/>
      <c r="K34" s="106"/>
      <c r="L34" s="106"/>
      <c r="M34" s="106"/>
      <c r="N34" s="106"/>
      <c r="O34" s="106"/>
      <c r="P34" s="106"/>
      <c r="Q34" s="105"/>
    </row>
    <row r="35" spans="2:17" ht="12.75">
      <c r="B35" s="104"/>
      <c r="C35" s="107" t="s">
        <v>41</v>
      </c>
      <c r="D35" s="106"/>
      <c r="E35" s="153">
        <v>1</v>
      </c>
      <c r="F35" s="153">
        <v>2</v>
      </c>
      <c r="G35" s="153">
        <v>3</v>
      </c>
      <c r="H35" s="153">
        <v>4</v>
      </c>
      <c r="I35" s="153"/>
      <c r="J35" s="153"/>
      <c r="K35" s="153"/>
      <c r="L35" s="153"/>
      <c r="M35" s="153"/>
      <c r="N35" s="108"/>
      <c r="O35" s="108"/>
      <c r="P35" s="108"/>
      <c r="Q35" s="105"/>
    </row>
    <row r="36" spans="2:17" ht="13.5" thickBot="1">
      <c r="B36" s="104"/>
      <c r="C36" s="107"/>
      <c r="D36" s="106"/>
      <c r="E36" s="154"/>
      <c r="F36" s="154"/>
      <c r="G36" s="154"/>
      <c r="H36" s="154"/>
      <c r="I36" s="154"/>
      <c r="J36" s="154"/>
      <c r="K36" s="154"/>
      <c r="L36" s="154"/>
      <c r="M36" s="154"/>
      <c r="N36" s="108"/>
      <c r="O36" s="108"/>
      <c r="P36" s="108"/>
      <c r="Q36" s="105"/>
    </row>
    <row r="37" spans="2:17" ht="13.5" thickTop="1">
      <c r="B37" s="104"/>
      <c r="C37" s="106"/>
      <c r="D37" s="106"/>
      <c r="E37" s="155"/>
      <c r="F37" s="155"/>
      <c r="G37" s="155"/>
      <c r="H37" s="155"/>
      <c r="I37" s="155"/>
      <c r="J37" s="155"/>
      <c r="K37" s="155"/>
      <c r="L37" s="155"/>
      <c r="M37" s="155"/>
      <c r="N37" s="109" t="s">
        <v>108</v>
      </c>
      <c r="O37" s="109" t="s">
        <v>109</v>
      </c>
      <c r="P37" s="109" t="s">
        <v>110</v>
      </c>
      <c r="Q37" s="105"/>
    </row>
    <row r="38" spans="2:17" ht="12.75">
      <c r="B38" s="104"/>
      <c r="C38" s="107" t="s">
        <v>83</v>
      </c>
      <c r="D38" s="106"/>
      <c r="E38" s="154"/>
      <c r="F38" s="154"/>
      <c r="G38" s="154"/>
      <c r="H38" s="154"/>
      <c r="I38" s="154"/>
      <c r="J38" s="154"/>
      <c r="K38" s="154"/>
      <c r="L38" s="154"/>
      <c r="M38" s="154"/>
      <c r="N38" s="110" t="s">
        <v>111</v>
      </c>
      <c r="O38" s="110" t="s">
        <v>112</v>
      </c>
      <c r="P38" s="110" t="s">
        <v>113</v>
      </c>
      <c r="Q38" s="105"/>
    </row>
    <row r="39" spans="2:17" ht="12.75">
      <c r="B39" s="104"/>
      <c r="C39" s="107"/>
      <c r="D39" s="106"/>
      <c r="E39" s="154"/>
      <c r="F39" s="154"/>
      <c r="G39" s="154"/>
      <c r="H39" s="154"/>
      <c r="I39" s="154"/>
      <c r="J39" s="154"/>
      <c r="K39" s="154"/>
      <c r="L39" s="154"/>
      <c r="M39" s="154"/>
      <c r="N39" s="111"/>
      <c r="O39" s="111"/>
      <c r="P39" s="111"/>
      <c r="Q39" s="105"/>
    </row>
    <row r="40" spans="2:17" ht="12.75">
      <c r="B40" s="104"/>
      <c r="C40" s="106" t="s">
        <v>85</v>
      </c>
      <c r="D40" s="106"/>
      <c r="E40" s="156">
        <v>0.005844514697157621</v>
      </c>
      <c r="F40" s="156"/>
      <c r="G40" s="156"/>
      <c r="H40" s="156"/>
      <c r="I40" s="156"/>
      <c r="J40" s="156"/>
      <c r="K40" s="156"/>
      <c r="L40" s="156"/>
      <c r="M40" s="157"/>
      <c r="N40" s="120">
        <f>AVERAGE(E40:M40)</f>
        <v>0.005844514697157621</v>
      </c>
      <c r="O40" s="121" t="e">
        <f>STDEV(E40:M40)</f>
        <v>#DIV/0!</v>
      </c>
      <c r="P40" s="122" t="e">
        <f>O40/N40</f>
        <v>#DIV/0!</v>
      </c>
      <c r="Q40" s="105"/>
    </row>
    <row r="41" spans="2:17" ht="12.75">
      <c r="B41" s="104"/>
      <c r="C41" s="106" t="s">
        <v>86</v>
      </c>
      <c r="D41" s="106"/>
      <c r="E41" s="158">
        <v>0.65</v>
      </c>
      <c r="F41" s="158"/>
      <c r="G41" s="158"/>
      <c r="H41" s="158"/>
      <c r="I41" s="158"/>
      <c r="J41" s="158"/>
      <c r="K41" s="158"/>
      <c r="L41" s="158"/>
      <c r="M41" s="159"/>
      <c r="N41" s="123">
        <f aca="true" t="shared" si="0" ref="N41:N54">AVERAGE(E41:M41)</f>
        <v>0.65</v>
      </c>
      <c r="O41" s="124" t="e">
        <f aca="true" t="shared" si="1" ref="O41:O54">STDEV(E41:M41)</f>
        <v>#DIV/0!</v>
      </c>
      <c r="P41" s="123" t="e">
        <f aca="true" t="shared" si="2" ref="P41:P54">O41/N41</f>
        <v>#DIV/0!</v>
      </c>
      <c r="Q41" s="105"/>
    </row>
    <row r="42" spans="2:17" ht="12.75">
      <c r="B42" s="104"/>
      <c r="C42" s="106" t="s">
        <v>87</v>
      </c>
      <c r="D42" s="106"/>
      <c r="E42" s="160">
        <v>3.5</v>
      </c>
      <c r="F42" s="160"/>
      <c r="G42" s="160"/>
      <c r="H42" s="160"/>
      <c r="I42" s="160"/>
      <c r="J42" s="160"/>
      <c r="K42" s="160"/>
      <c r="L42" s="160"/>
      <c r="M42" s="161"/>
      <c r="N42" s="125">
        <f t="shared" si="0"/>
        <v>3.5</v>
      </c>
      <c r="O42" s="123" t="e">
        <f t="shared" si="1"/>
        <v>#DIV/0!</v>
      </c>
      <c r="P42" s="123" t="e">
        <f t="shared" si="2"/>
        <v>#DIV/0!</v>
      </c>
      <c r="Q42" s="105"/>
    </row>
    <row r="43" spans="2:17" ht="12.75">
      <c r="B43" s="104"/>
      <c r="C43" s="106" t="s">
        <v>88</v>
      </c>
      <c r="D43" s="106"/>
      <c r="E43" s="162">
        <v>70512.8698960959</v>
      </c>
      <c r="F43" s="162"/>
      <c r="G43" s="162"/>
      <c r="H43" s="162"/>
      <c r="I43" s="162"/>
      <c r="J43" s="162"/>
      <c r="K43" s="162"/>
      <c r="L43" s="162"/>
      <c r="M43" s="163"/>
      <c r="N43" s="126">
        <f t="shared" si="0"/>
        <v>70512.8698960959</v>
      </c>
      <c r="O43" s="126" t="e">
        <f t="shared" si="1"/>
        <v>#DIV/0!</v>
      </c>
      <c r="P43" s="127" t="e">
        <f t="shared" si="2"/>
        <v>#DIV/0!</v>
      </c>
      <c r="Q43" s="105"/>
    </row>
    <row r="44" spans="2:17" ht="12.75">
      <c r="B44" s="104"/>
      <c r="C44" s="112" t="s">
        <v>89</v>
      </c>
      <c r="D44" s="106"/>
      <c r="E44" s="154"/>
      <c r="F44" s="154"/>
      <c r="G44" s="154"/>
      <c r="H44" s="154"/>
      <c r="I44" s="154"/>
      <c r="J44" s="154"/>
      <c r="K44" s="154"/>
      <c r="L44" s="154"/>
      <c r="M44" s="154"/>
      <c r="N44" s="113"/>
      <c r="O44" s="114"/>
      <c r="P44" s="115"/>
      <c r="Q44" s="105"/>
    </row>
    <row r="45" spans="2:17" ht="12.75">
      <c r="B45" s="104"/>
      <c r="C45" s="106" t="s">
        <v>90</v>
      </c>
      <c r="D45" s="106"/>
      <c r="E45" s="164">
        <v>0</v>
      </c>
      <c r="F45" s="164"/>
      <c r="G45" s="164"/>
      <c r="H45" s="164"/>
      <c r="I45" s="164"/>
      <c r="J45" s="164"/>
      <c r="K45" s="164"/>
      <c r="L45" s="164"/>
      <c r="M45" s="165"/>
      <c r="N45" s="120">
        <f t="shared" si="0"/>
        <v>0</v>
      </c>
      <c r="O45" s="121" t="e">
        <f t="shared" si="1"/>
        <v>#DIV/0!</v>
      </c>
      <c r="P45" s="122" t="e">
        <f t="shared" si="2"/>
        <v>#DIV/0!</v>
      </c>
      <c r="Q45" s="105"/>
    </row>
    <row r="46" spans="2:17" ht="12.75">
      <c r="B46" s="104"/>
      <c r="C46" s="106" t="s">
        <v>91</v>
      </c>
      <c r="D46" s="106"/>
      <c r="E46" s="158">
        <v>1</v>
      </c>
      <c r="F46" s="158"/>
      <c r="G46" s="158"/>
      <c r="H46" s="158"/>
      <c r="I46" s="158"/>
      <c r="J46" s="158"/>
      <c r="K46" s="158"/>
      <c r="L46" s="158"/>
      <c r="M46" s="159"/>
      <c r="N46" s="127">
        <f t="shared" si="0"/>
        <v>1</v>
      </c>
      <c r="O46" s="128" t="e">
        <f t="shared" si="1"/>
        <v>#DIV/0!</v>
      </c>
      <c r="P46" s="127" t="e">
        <f t="shared" si="2"/>
        <v>#DIV/0!</v>
      </c>
      <c r="Q46" s="105"/>
    </row>
    <row r="47" spans="2:17" ht="12.75">
      <c r="B47" s="104"/>
      <c r="C47" s="106"/>
      <c r="D47" s="106"/>
      <c r="E47" s="154"/>
      <c r="F47" s="154"/>
      <c r="G47" s="154"/>
      <c r="H47" s="154"/>
      <c r="I47" s="154"/>
      <c r="J47" s="154"/>
      <c r="K47" s="154"/>
      <c r="L47" s="154"/>
      <c r="M47" s="154"/>
      <c r="N47" s="113"/>
      <c r="O47" s="114"/>
      <c r="P47" s="115"/>
      <c r="Q47" s="105"/>
    </row>
    <row r="48" spans="2:17" ht="12.75">
      <c r="B48" s="104"/>
      <c r="C48" s="112" t="s">
        <v>84</v>
      </c>
      <c r="D48" s="106"/>
      <c r="E48" s="166"/>
      <c r="F48" s="166"/>
      <c r="G48" s="166"/>
      <c r="H48" s="166"/>
      <c r="I48" s="166"/>
      <c r="J48" s="166"/>
      <c r="K48" s="166"/>
      <c r="L48" s="166"/>
      <c r="M48" s="166"/>
      <c r="N48" s="113"/>
      <c r="O48" s="114"/>
      <c r="P48" s="115"/>
      <c r="Q48" s="105"/>
    </row>
    <row r="49" spans="2:17" ht="12.75">
      <c r="B49" s="104"/>
      <c r="C49" s="112"/>
      <c r="D49" s="106"/>
      <c r="E49" s="166"/>
      <c r="F49" s="166"/>
      <c r="G49" s="166"/>
      <c r="H49" s="166"/>
      <c r="I49" s="166"/>
      <c r="J49" s="166"/>
      <c r="K49" s="166"/>
      <c r="L49" s="166"/>
      <c r="M49" s="166"/>
      <c r="N49" s="113"/>
      <c r="O49" s="114"/>
      <c r="P49" s="115"/>
      <c r="Q49" s="105"/>
    </row>
    <row r="50" spans="2:17" ht="12.75">
      <c r="B50" s="104"/>
      <c r="C50" s="106" t="s">
        <v>92</v>
      </c>
      <c r="D50" s="106"/>
      <c r="E50" s="167">
        <v>0.2345820204279878</v>
      </c>
      <c r="F50" s="167"/>
      <c r="G50" s="167"/>
      <c r="H50" s="167"/>
      <c r="I50" s="167"/>
      <c r="J50" s="167"/>
      <c r="K50" s="167"/>
      <c r="L50" s="167"/>
      <c r="M50" s="168"/>
      <c r="N50" s="120">
        <f t="shared" si="0"/>
        <v>0.2345820204279878</v>
      </c>
      <c r="O50" s="121" t="e">
        <f t="shared" si="1"/>
        <v>#DIV/0!</v>
      </c>
      <c r="P50" s="122" t="e">
        <f t="shared" si="2"/>
        <v>#DIV/0!</v>
      </c>
      <c r="Q50" s="105"/>
    </row>
    <row r="51" spans="2:17" ht="12.75">
      <c r="B51" s="104"/>
      <c r="C51" s="106" t="s">
        <v>93</v>
      </c>
      <c r="D51" s="106"/>
      <c r="E51" s="158">
        <v>0.33245080007555944</v>
      </c>
      <c r="F51" s="158"/>
      <c r="G51" s="158"/>
      <c r="H51" s="158"/>
      <c r="I51" s="158"/>
      <c r="J51" s="158"/>
      <c r="K51" s="158"/>
      <c r="L51" s="158"/>
      <c r="M51" s="159"/>
      <c r="N51" s="123">
        <f t="shared" si="0"/>
        <v>0.33245080007555944</v>
      </c>
      <c r="O51" s="124" t="e">
        <f t="shared" si="1"/>
        <v>#DIV/0!</v>
      </c>
      <c r="P51" s="123" t="e">
        <f t="shared" si="2"/>
        <v>#DIV/0!</v>
      </c>
      <c r="Q51" s="105"/>
    </row>
    <row r="52" spans="2:17" ht="12.75">
      <c r="B52" s="104"/>
      <c r="C52" s="106" t="s">
        <v>94</v>
      </c>
      <c r="D52" s="106"/>
      <c r="E52" s="160">
        <v>4</v>
      </c>
      <c r="F52" s="160"/>
      <c r="G52" s="160"/>
      <c r="H52" s="160"/>
      <c r="I52" s="160"/>
      <c r="J52" s="160"/>
      <c r="K52" s="160"/>
      <c r="L52" s="160"/>
      <c r="M52" s="161"/>
      <c r="N52" s="129">
        <f t="shared" si="0"/>
        <v>4</v>
      </c>
      <c r="O52" s="127" t="e">
        <f t="shared" si="1"/>
        <v>#DIV/0!</v>
      </c>
      <c r="P52" s="127" t="e">
        <f t="shared" si="2"/>
        <v>#DIV/0!</v>
      </c>
      <c r="Q52" s="105"/>
    </row>
    <row r="53" spans="2:17" ht="12.75">
      <c r="B53" s="104"/>
      <c r="C53" s="112" t="s">
        <v>89</v>
      </c>
      <c r="D53" s="106"/>
      <c r="E53" s="154"/>
      <c r="F53" s="154"/>
      <c r="G53" s="154"/>
      <c r="H53" s="154"/>
      <c r="I53" s="154"/>
      <c r="J53" s="154"/>
      <c r="K53" s="154"/>
      <c r="L53" s="154"/>
      <c r="M53" s="154"/>
      <c r="N53" s="113"/>
      <c r="O53" s="114"/>
      <c r="P53" s="115"/>
      <c r="Q53" s="105"/>
    </row>
    <row r="54" spans="2:17" ht="12.75">
      <c r="B54" s="104"/>
      <c r="C54" s="106" t="s">
        <v>95</v>
      </c>
      <c r="D54" s="106"/>
      <c r="E54" s="158">
        <v>0</v>
      </c>
      <c r="F54" s="158"/>
      <c r="G54" s="158"/>
      <c r="H54" s="158"/>
      <c r="I54" s="158"/>
      <c r="J54" s="158"/>
      <c r="K54" s="158"/>
      <c r="L54" s="158"/>
      <c r="M54" s="159"/>
      <c r="N54" s="130">
        <f t="shared" si="0"/>
        <v>0</v>
      </c>
      <c r="O54" s="131" t="e">
        <f t="shared" si="1"/>
        <v>#DIV/0!</v>
      </c>
      <c r="P54" s="130" t="e">
        <f t="shared" si="2"/>
        <v>#DIV/0!</v>
      </c>
      <c r="Q54" s="105"/>
    </row>
    <row r="55" spans="2:17" ht="13.5" thickBot="1">
      <c r="B55" s="104"/>
      <c r="C55" s="106"/>
      <c r="D55" s="106"/>
      <c r="E55" s="154"/>
      <c r="F55" s="154"/>
      <c r="G55" s="154"/>
      <c r="H55" s="154"/>
      <c r="I55" s="154"/>
      <c r="J55" s="154"/>
      <c r="K55" s="154"/>
      <c r="L55" s="154"/>
      <c r="M55" s="154"/>
      <c r="N55" s="116"/>
      <c r="O55" s="116"/>
      <c r="P55" s="116"/>
      <c r="Q55" s="105"/>
    </row>
    <row r="56" spans="2:17" ht="13.5" thickTop="1">
      <c r="B56" s="104"/>
      <c r="C56" s="106"/>
      <c r="D56" s="106"/>
      <c r="E56" s="154"/>
      <c r="F56" s="154"/>
      <c r="G56" s="154"/>
      <c r="H56" s="154"/>
      <c r="I56" s="154"/>
      <c r="J56" s="154"/>
      <c r="K56" s="154"/>
      <c r="L56" s="154"/>
      <c r="M56" s="154"/>
      <c r="N56" s="102"/>
      <c r="O56" s="102"/>
      <c r="P56" s="102"/>
      <c r="Q56" s="105"/>
    </row>
    <row r="57" spans="2:17" ht="13.5" thickBot="1">
      <c r="B57" s="104"/>
      <c r="C57" s="112" t="s">
        <v>44</v>
      </c>
      <c r="D57" s="106"/>
      <c r="E57" s="169">
        <v>1.767967980241154</v>
      </c>
      <c r="F57" s="169"/>
      <c r="G57" s="169"/>
      <c r="H57" s="169"/>
      <c r="I57" s="169"/>
      <c r="J57" s="169"/>
      <c r="K57" s="169"/>
      <c r="L57" s="169"/>
      <c r="M57" s="169"/>
      <c r="N57" s="106"/>
      <c r="O57" s="106"/>
      <c r="P57" s="106"/>
      <c r="Q57" s="105"/>
    </row>
    <row r="58" spans="2:17" ht="13.5" thickBot="1">
      <c r="B58" s="117"/>
      <c r="C58" s="118"/>
      <c r="D58" s="118"/>
      <c r="E58" s="118"/>
      <c r="F58" s="118"/>
      <c r="G58" s="118"/>
      <c r="H58" s="118"/>
      <c r="I58" s="118"/>
      <c r="J58" s="118"/>
      <c r="K58" s="118"/>
      <c r="L58" s="118"/>
      <c r="M58" s="118"/>
      <c r="N58" s="118"/>
      <c r="O58" s="118"/>
      <c r="P58" s="118"/>
      <c r="Q58" s="119"/>
    </row>
    <row r="59" ht="13.5" thickTop="1"/>
    <row r="60" ht="12.75">
      <c r="C60" t="s">
        <v>114</v>
      </c>
    </row>
    <row r="61" ht="12.75">
      <c r="C61" t="s">
        <v>115</v>
      </c>
    </row>
    <row r="62" ht="12.75">
      <c r="C62" t="s">
        <v>116</v>
      </c>
    </row>
    <row r="63" ht="12.75">
      <c r="C63" t="s">
        <v>117</v>
      </c>
    </row>
    <row r="64" ht="12.75">
      <c r="C64" t="s">
        <v>118</v>
      </c>
    </row>
  </sheetData>
  <sheetProtection insertColumns="0" insertRows="0"/>
  <mergeCells count="3">
    <mergeCell ref="C3:P3"/>
    <mergeCell ref="G27:P27"/>
    <mergeCell ref="C33:P33"/>
  </mergeCells>
  <printOptions horizontalCentered="1"/>
  <pageMargins left="0.25" right="0.25" top="1" bottom="1.5" header="0" footer="0.5"/>
  <pageSetup horizontalDpi="300" verticalDpi="300" orientation="landscape" r:id="rId4"/>
  <headerFooter alignWithMargins="0">
    <oddFooter>&amp;L&amp;"Arial,Bold"&amp;8Moly-Cop Tools&amp;"Arial,Regular" / &amp;F&amp;R&amp;8&amp;D / &amp;T</oddFooter>
  </headerFooter>
  <rowBreaks count="1" manualBreakCount="1">
    <brk id="30"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X50"/>
  <sheetViews>
    <sheetView workbookViewId="0" topLeftCell="A7">
      <selection activeCell="F21" sqref="F21"/>
    </sheetView>
  </sheetViews>
  <sheetFormatPr defaultColWidth="11.421875" defaultRowHeight="12.75"/>
  <cols>
    <col min="1" max="2" width="1.7109375" style="0" customWidth="1"/>
    <col min="3" max="6" width="10.7109375" style="0" customWidth="1"/>
    <col min="7" max="12" width="8.7109375" style="0" customWidth="1"/>
    <col min="13" max="13" width="1.7109375" style="0" customWidth="1"/>
    <col min="14" max="16" width="8.7109375" style="0" customWidth="1"/>
    <col min="17" max="17" width="7.7109375" style="0" customWidth="1"/>
    <col min="18" max="18" width="12.7109375" style="0" customWidth="1"/>
    <col min="19" max="19" width="1.7109375" style="0" customWidth="1"/>
    <col min="20" max="16384" width="9.140625" style="0" customWidth="1"/>
  </cols>
  <sheetData>
    <row r="1" ht="7.5" customHeight="1" thickBot="1"/>
    <row r="2" spans="2:19" ht="21.75" thickTop="1">
      <c r="B2" s="44"/>
      <c r="C2" s="73" t="s">
        <v>161</v>
      </c>
      <c r="D2" s="45"/>
      <c r="E2" s="45"/>
      <c r="F2" s="45"/>
      <c r="G2" s="45"/>
      <c r="H2" s="45"/>
      <c r="I2" s="45"/>
      <c r="J2" s="45"/>
      <c r="K2" s="45"/>
      <c r="L2" s="45"/>
      <c r="M2" s="45"/>
      <c r="N2" s="45"/>
      <c r="O2" s="45"/>
      <c r="P2" s="45"/>
      <c r="Q2" s="45"/>
      <c r="R2" s="45"/>
      <c r="S2" s="46"/>
    </row>
    <row r="3" spans="2:19" ht="15" customHeight="1">
      <c r="B3" s="47"/>
      <c r="C3" s="187" t="s">
        <v>78</v>
      </c>
      <c r="D3" s="187"/>
      <c r="E3" s="187"/>
      <c r="F3" s="187"/>
      <c r="G3" s="187"/>
      <c r="H3" s="187"/>
      <c r="I3" s="187"/>
      <c r="J3" s="187"/>
      <c r="K3" s="187"/>
      <c r="L3" s="187"/>
      <c r="M3" s="187"/>
      <c r="N3" s="187"/>
      <c r="O3" s="187"/>
      <c r="P3" s="187"/>
      <c r="Q3" s="187"/>
      <c r="R3" s="187"/>
      <c r="S3" s="33"/>
    </row>
    <row r="4" spans="2:19" ht="12.75">
      <c r="B4" s="47"/>
      <c r="C4" s="34"/>
      <c r="D4" s="34"/>
      <c r="E4" s="34"/>
      <c r="F4" s="34"/>
      <c r="G4" s="34"/>
      <c r="H4" s="34"/>
      <c r="I4" s="34"/>
      <c r="J4" s="34"/>
      <c r="K4" s="34"/>
      <c r="L4" s="34"/>
      <c r="M4" s="34"/>
      <c r="N4" s="34"/>
      <c r="O4" s="34"/>
      <c r="P4" s="34"/>
      <c r="Q4" s="34"/>
      <c r="R4" s="34"/>
      <c r="S4" s="33"/>
    </row>
    <row r="5" spans="2:19" ht="12.75">
      <c r="B5" s="47"/>
      <c r="C5" s="52" t="s">
        <v>24</v>
      </c>
      <c r="D5" s="197" t="s">
        <v>79</v>
      </c>
      <c r="E5" s="198"/>
      <c r="F5" s="198"/>
      <c r="G5" s="198"/>
      <c r="H5" s="198"/>
      <c r="I5" s="199"/>
      <c r="J5" s="34"/>
      <c r="K5" s="34"/>
      <c r="L5" s="34"/>
      <c r="M5" s="34"/>
      <c r="N5" s="34"/>
      <c r="O5" s="34"/>
      <c r="P5" s="34"/>
      <c r="Q5" s="52" t="s">
        <v>41</v>
      </c>
      <c r="R5" s="175">
        <v>1</v>
      </c>
      <c r="S5" s="33"/>
    </row>
    <row r="6" spans="2:19" ht="12.75">
      <c r="B6" s="47"/>
      <c r="C6" s="34"/>
      <c r="D6" s="200" t="s">
        <v>70</v>
      </c>
      <c r="E6" s="201"/>
      <c r="F6" s="201"/>
      <c r="G6" s="201"/>
      <c r="H6" s="201"/>
      <c r="I6" s="202"/>
      <c r="J6" s="34"/>
      <c r="K6" s="34"/>
      <c r="L6" s="34"/>
      <c r="M6" s="34"/>
      <c r="N6" s="34"/>
      <c r="O6" s="34"/>
      <c r="P6" s="34"/>
      <c r="Q6" s="34"/>
      <c r="R6" s="34"/>
      <c r="S6" s="33"/>
    </row>
    <row r="7" spans="2:19" ht="12.75">
      <c r="B7" s="47"/>
      <c r="C7" s="34"/>
      <c r="D7" s="34"/>
      <c r="E7" s="34"/>
      <c r="F7" s="34"/>
      <c r="G7" s="34"/>
      <c r="H7" s="34"/>
      <c r="I7" s="34"/>
      <c r="J7" s="34"/>
      <c r="K7" s="34"/>
      <c r="L7" s="34"/>
      <c r="M7" s="34"/>
      <c r="N7" s="34"/>
      <c r="O7" s="34"/>
      <c r="P7" s="34"/>
      <c r="Q7" s="34"/>
      <c r="R7" s="34"/>
      <c r="S7" s="33"/>
    </row>
    <row r="8" spans="2:19" ht="12.75">
      <c r="B8" s="47"/>
      <c r="C8" s="52" t="s">
        <v>25</v>
      </c>
      <c r="D8" s="34"/>
      <c r="E8" s="35"/>
      <c r="F8" s="34"/>
      <c r="G8" s="34"/>
      <c r="H8" s="34"/>
      <c r="I8" s="137"/>
      <c r="J8" s="34"/>
      <c r="K8" s="141">
        <f>K11*H18/G18/K18</f>
        <v>6154.325642034986</v>
      </c>
      <c r="L8" s="55" t="s">
        <v>120</v>
      </c>
      <c r="M8" s="34"/>
      <c r="N8" s="34"/>
      <c r="O8" s="34"/>
      <c r="P8" s="34"/>
      <c r="Q8" s="34"/>
      <c r="R8" s="34"/>
      <c r="S8" s="33"/>
    </row>
    <row r="9" spans="2:19" ht="12.75">
      <c r="B9" s="47"/>
      <c r="C9" s="66" t="s">
        <v>156</v>
      </c>
      <c r="D9" s="66" t="s">
        <v>155</v>
      </c>
      <c r="E9" s="66" t="s">
        <v>27</v>
      </c>
      <c r="F9" s="66" t="s">
        <v>121</v>
      </c>
      <c r="G9" s="66" t="s">
        <v>122</v>
      </c>
      <c r="H9" s="207" t="s">
        <v>123</v>
      </c>
      <c r="I9" s="207"/>
      <c r="J9" s="66" t="s">
        <v>29</v>
      </c>
      <c r="K9" s="141">
        <f>K11*J18/G18/K18</f>
        <v>0</v>
      </c>
      <c r="L9" s="55" t="s">
        <v>124</v>
      </c>
      <c r="M9" s="34"/>
      <c r="N9" s="34"/>
      <c r="O9" s="66"/>
      <c r="P9" s="34"/>
      <c r="Q9" s="34"/>
      <c r="R9" s="34"/>
      <c r="S9" s="33"/>
    </row>
    <row r="10" spans="2:19" ht="12.75">
      <c r="B10" s="47"/>
      <c r="C10" s="66" t="s">
        <v>31</v>
      </c>
      <c r="D10" s="66" t="s">
        <v>31</v>
      </c>
      <c r="E10" s="66" t="s">
        <v>26</v>
      </c>
      <c r="F10" s="66" t="s">
        <v>125</v>
      </c>
      <c r="G10" s="66" t="s">
        <v>125</v>
      </c>
      <c r="H10" s="207" t="s">
        <v>126</v>
      </c>
      <c r="I10" s="207"/>
      <c r="J10" s="66" t="s">
        <v>30</v>
      </c>
      <c r="K10" s="141">
        <f>K11*I18/G18/K18</f>
        <v>1236.4743579650133</v>
      </c>
      <c r="L10" s="146" t="s">
        <v>127</v>
      </c>
      <c r="M10" s="34"/>
      <c r="N10" s="34"/>
      <c r="O10" s="66"/>
      <c r="P10" s="34"/>
      <c r="Q10" s="34"/>
      <c r="R10" s="34"/>
      <c r="S10" s="33"/>
    </row>
    <row r="11" spans="2:19" ht="12.75">
      <c r="B11" s="47"/>
      <c r="C11" s="178">
        <v>23.5</v>
      </c>
      <c r="D11" s="178">
        <v>35</v>
      </c>
      <c r="E11" s="180">
        <v>65.3</v>
      </c>
      <c r="F11" s="177">
        <v>34</v>
      </c>
      <c r="G11" s="177">
        <v>34</v>
      </c>
      <c r="H11" s="208">
        <v>100</v>
      </c>
      <c r="I11" s="209"/>
      <c r="J11" s="148">
        <f>(180/PI())*ASIN($K11/(0.238*$C11^3.5*($D11/$C11)*($E11/100)*$K18*($F11/100-1.065*$F11*$F11/10000)))</f>
        <v>24.605369706588917</v>
      </c>
      <c r="K11" s="36">
        <f>K13*(1-K12/100)</f>
        <v>7390.8</v>
      </c>
      <c r="L11" s="147" t="s">
        <v>143</v>
      </c>
      <c r="M11" s="34"/>
      <c r="N11" s="34"/>
      <c r="O11" s="66"/>
      <c r="P11" s="34"/>
      <c r="Q11" s="34"/>
      <c r="R11" s="34"/>
      <c r="S11" s="33"/>
    </row>
    <row r="12" spans="2:19" ht="12.75">
      <c r="B12" s="47"/>
      <c r="C12" s="53"/>
      <c r="D12" s="66" t="s">
        <v>146</v>
      </c>
      <c r="E12" s="148">
        <f>(76.6/C11^0.5)*(E11/100)</f>
        <v>10.318296890723119</v>
      </c>
      <c r="F12" s="68"/>
      <c r="G12" s="67"/>
      <c r="H12" s="53"/>
      <c r="I12" s="137"/>
      <c r="J12" s="53"/>
      <c r="K12" s="178">
        <v>10</v>
      </c>
      <c r="L12" s="135" t="s">
        <v>128</v>
      </c>
      <c r="M12" s="34"/>
      <c r="N12" s="34"/>
      <c r="O12" s="34"/>
      <c r="P12" s="34"/>
      <c r="Q12" s="34"/>
      <c r="R12" s="34"/>
      <c r="S12" s="33"/>
    </row>
    <row r="13" spans="2:19" ht="12.75">
      <c r="B13" s="47"/>
      <c r="C13" s="53"/>
      <c r="D13" s="53"/>
      <c r="E13" s="67"/>
      <c r="F13" s="68"/>
      <c r="G13" s="67"/>
      <c r="H13" s="53"/>
      <c r="I13" s="137"/>
      <c r="J13" s="53"/>
      <c r="K13" s="179">
        <v>8212</v>
      </c>
      <c r="L13" s="136" t="s">
        <v>138</v>
      </c>
      <c r="M13" s="34"/>
      <c r="N13" s="34"/>
      <c r="O13" s="34"/>
      <c r="P13" s="34"/>
      <c r="Q13" s="34"/>
      <c r="R13" s="34"/>
      <c r="S13" s="33"/>
    </row>
    <row r="14" spans="2:19" ht="12.75">
      <c r="B14" s="47"/>
      <c r="C14" s="137"/>
      <c r="D14" s="137"/>
      <c r="E14" s="137"/>
      <c r="F14" s="68"/>
      <c r="G14" s="67"/>
      <c r="H14" s="53"/>
      <c r="I14" s="53"/>
      <c r="J14" s="53"/>
      <c r="K14" s="135"/>
      <c r="L14" s="34"/>
      <c r="M14" s="34"/>
      <c r="N14" s="34"/>
      <c r="O14" s="34"/>
      <c r="P14" s="34"/>
      <c r="Q14" s="34"/>
      <c r="R14" s="34"/>
      <c r="S14" s="33"/>
    </row>
    <row r="15" spans="2:19" ht="12.75">
      <c r="B15" s="47"/>
      <c r="C15" s="34" t="s">
        <v>23</v>
      </c>
      <c r="D15" s="34"/>
      <c r="E15" s="180">
        <v>81.4</v>
      </c>
      <c r="F15" s="68"/>
      <c r="G15" s="144" t="s">
        <v>121</v>
      </c>
      <c r="H15" s="205" t="s">
        <v>129</v>
      </c>
      <c r="I15" s="205"/>
      <c r="J15" s="205"/>
      <c r="K15" s="144" t="s">
        <v>130</v>
      </c>
      <c r="L15" s="55"/>
      <c r="M15" s="34"/>
      <c r="N15" s="34"/>
      <c r="O15" s="48" t="s">
        <v>142</v>
      </c>
      <c r="P15" s="34"/>
      <c r="Q15" s="137"/>
      <c r="R15" s="178">
        <v>5269.354300548002</v>
      </c>
      <c r="S15" s="33"/>
    </row>
    <row r="16" spans="2:19" ht="12.75">
      <c r="B16" s="47"/>
      <c r="C16" s="34" t="s">
        <v>34</v>
      </c>
      <c r="D16" s="34"/>
      <c r="E16" s="181">
        <v>3.4</v>
      </c>
      <c r="F16" s="34"/>
      <c r="G16" s="144" t="s">
        <v>131</v>
      </c>
      <c r="H16" s="143" t="s">
        <v>132</v>
      </c>
      <c r="I16" s="206" t="s">
        <v>133</v>
      </c>
      <c r="J16" s="206"/>
      <c r="K16" s="144" t="s">
        <v>134</v>
      </c>
      <c r="L16" s="55"/>
      <c r="M16" s="34"/>
      <c r="N16" s="34"/>
      <c r="O16" s="137"/>
      <c r="P16" s="137"/>
      <c r="Q16" s="137"/>
      <c r="R16" s="137"/>
      <c r="S16" s="33"/>
    </row>
    <row r="17" spans="2:19" ht="12.75">
      <c r="B17" s="47"/>
      <c r="C17" s="142" t="s">
        <v>135</v>
      </c>
      <c r="D17" s="143"/>
      <c r="E17" s="139">
        <f>1/((E15/100)/E16+(1-E15/100))</f>
        <v>2.3506637168141595</v>
      </c>
      <c r="F17" s="34"/>
      <c r="G17" s="143" t="s">
        <v>136</v>
      </c>
      <c r="H17" s="143" t="s">
        <v>121</v>
      </c>
      <c r="I17" s="143" t="s">
        <v>123</v>
      </c>
      <c r="J17" s="143" t="s">
        <v>139</v>
      </c>
      <c r="K17" s="143" t="s">
        <v>32</v>
      </c>
      <c r="L17" s="55"/>
      <c r="M17" s="34"/>
      <c r="N17" s="34"/>
      <c r="O17" s="145" t="s">
        <v>140</v>
      </c>
      <c r="P17" s="137"/>
      <c r="Q17" s="34"/>
      <c r="R17" s="37">
        <f>K11/R15</f>
        <v>1.4026006942124525</v>
      </c>
      <c r="S17" s="33"/>
    </row>
    <row r="18" spans="2:19" ht="12.75">
      <c r="B18" s="47"/>
      <c r="C18" s="142" t="s">
        <v>137</v>
      </c>
      <c r="D18" s="55"/>
      <c r="E18" s="176">
        <v>7.8</v>
      </c>
      <c r="F18" s="34"/>
      <c r="G18" s="139">
        <f>(F11/100)*PI()*($C$11*0.305)^2*($D$11*0.305)/4</f>
        <v>146.44416946550214</v>
      </c>
      <c r="H18" s="139">
        <f>(1-0.4)*E18*(G11/100)*PI()*($C$11*0.305)^2*($D$11*0.305)/4</f>
        <v>685.35871309855</v>
      </c>
      <c r="I18" s="139">
        <f>E17*(H11/100)*0.4*(G11/100)*PI()*($C$11*0.305)^2*($D$11*0.305)/4</f>
        <v>137.696398280616</v>
      </c>
      <c r="J18" s="139">
        <f>E17*(F11/100-G11/100)*PI()*($C$11*0.305)^2*($D$11*0.305)/4</f>
        <v>0</v>
      </c>
      <c r="K18" s="140">
        <f>(H18+J18+I18)/G18</f>
        <v>5.620265486725664</v>
      </c>
      <c r="L18" s="138"/>
      <c r="M18" s="137"/>
      <c r="N18" s="137"/>
      <c r="O18" s="48" t="s">
        <v>141</v>
      </c>
      <c r="P18" s="137"/>
      <c r="Q18" s="34"/>
      <c r="R18" s="37">
        <f>K8/R15</f>
        <v>1.1679468282090937</v>
      </c>
      <c r="S18" s="33"/>
    </row>
    <row r="19" spans="2:19" ht="13.5" thickBot="1">
      <c r="B19" s="47"/>
      <c r="C19" s="142" t="s">
        <v>154</v>
      </c>
      <c r="D19" s="55"/>
      <c r="E19" s="176">
        <v>75</v>
      </c>
      <c r="F19" s="34"/>
      <c r="G19" s="34"/>
      <c r="H19" s="34"/>
      <c r="I19" s="34"/>
      <c r="J19" s="34"/>
      <c r="K19" s="34"/>
      <c r="L19" s="34"/>
      <c r="M19" s="34"/>
      <c r="N19" s="34"/>
      <c r="O19" s="34"/>
      <c r="P19" s="34"/>
      <c r="Q19" s="34"/>
      <c r="R19" s="34"/>
      <c r="S19" s="33"/>
    </row>
    <row r="20" spans="2:19" ht="18" customHeight="1" thickBot="1" thickTop="1">
      <c r="B20" s="47"/>
      <c r="C20" s="69"/>
      <c r="D20" s="69"/>
      <c r="E20" s="70"/>
      <c r="F20" s="69"/>
      <c r="G20" s="194" t="s">
        <v>42</v>
      </c>
      <c r="H20" s="195"/>
      <c r="I20" s="195"/>
      <c r="J20" s="195"/>
      <c r="K20" s="195"/>
      <c r="L20" s="196"/>
      <c r="M20" s="69"/>
      <c r="N20" s="194" t="s">
        <v>44</v>
      </c>
      <c r="O20" s="195"/>
      <c r="P20" s="195"/>
      <c r="Q20" s="195"/>
      <c r="R20" s="196"/>
      <c r="S20" s="33"/>
    </row>
    <row r="21" spans="2:19" ht="18" customHeight="1" thickTop="1">
      <c r="B21" s="47"/>
      <c r="C21" s="74"/>
      <c r="D21" s="74"/>
      <c r="E21" s="74"/>
      <c r="F21" s="74"/>
      <c r="G21" s="203" t="s">
        <v>43</v>
      </c>
      <c r="H21" s="204"/>
      <c r="I21" s="203" t="s">
        <v>80</v>
      </c>
      <c r="J21" s="204"/>
      <c r="K21" s="203" t="s">
        <v>81</v>
      </c>
      <c r="L21" s="204"/>
      <c r="M21" s="69"/>
      <c r="N21" s="192" t="s">
        <v>159</v>
      </c>
      <c r="O21" s="193"/>
      <c r="P21" s="75" t="s">
        <v>28</v>
      </c>
      <c r="Q21" s="75" t="s">
        <v>45</v>
      </c>
      <c r="R21" s="76" t="s">
        <v>160</v>
      </c>
      <c r="S21" s="33"/>
    </row>
    <row r="22" spans="2:19" ht="18" customHeight="1">
      <c r="B22" s="47"/>
      <c r="C22" s="74" t="s">
        <v>2</v>
      </c>
      <c r="D22" s="74" t="s">
        <v>0</v>
      </c>
      <c r="E22" s="74" t="s">
        <v>1</v>
      </c>
      <c r="F22" s="74" t="s">
        <v>6</v>
      </c>
      <c r="G22" s="77" t="s">
        <v>46</v>
      </c>
      <c r="H22" s="78" t="s">
        <v>47</v>
      </c>
      <c r="I22" s="77" t="s">
        <v>46</v>
      </c>
      <c r="J22" s="78" t="s">
        <v>47</v>
      </c>
      <c r="K22" s="77" t="s">
        <v>46</v>
      </c>
      <c r="L22" s="78" t="s">
        <v>47</v>
      </c>
      <c r="M22" s="69"/>
      <c r="N22" s="77" t="s">
        <v>49</v>
      </c>
      <c r="O22" s="78" t="s">
        <v>50</v>
      </c>
      <c r="P22" s="74" t="s">
        <v>74</v>
      </c>
      <c r="Q22" s="74"/>
      <c r="R22" s="78"/>
      <c r="S22" s="33"/>
    </row>
    <row r="23" spans="2:19" ht="12.75">
      <c r="B23" s="47"/>
      <c r="C23" s="34"/>
      <c r="D23" s="34"/>
      <c r="E23" s="34"/>
      <c r="F23" s="34"/>
      <c r="G23" s="79"/>
      <c r="H23" s="80"/>
      <c r="I23" s="79"/>
      <c r="J23" s="80"/>
      <c r="K23" s="79"/>
      <c r="L23" s="85"/>
      <c r="M23" s="34"/>
      <c r="N23" s="79"/>
      <c r="O23" s="80"/>
      <c r="P23" s="34"/>
      <c r="Q23" s="34"/>
      <c r="R23" s="80"/>
      <c r="S23" s="33"/>
    </row>
    <row r="24" spans="2:24" ht="12.75">
      <c r="B24" s="47"/>
      <c r="C24" s="184">
        <v>1</v>
      </c>
      <c r="D24" s="226" t="s">
        <v>165</v>
      </c>
      <c r="E24" s="185">
        <v>19050</v>
      </c>
      <c r="F24" s="43"/>
      <c r="G24" s="81"/>
      <c r="H24" s="84">
        <v>100</v>
      </c>
      <c r="I24" s="81"/>
      <c r="J24" s="84">
        <v>100</v>
      </c>
      <c r="K24" s="93"/>
      <c r="L24" s="86">
        <f aca="true" t="shared" si="0" ref="L24:L42">K25+L25</f>
        <v>100.00000000000006</v>
      </c>
      <c r="M24" s="34"/>
      <c r="N24" s="89"/>
      <c r="O24" s="85"/>
      <c r="P24" s="42"/>
      <c r="Q24" s="34"/>
      <c r="R24" s="80"/>
      <c r="S24" s="33"/>
      <c r="V24" s="6"/>
      <c r="W24" s="6"/>
      <c r="X24" s="6"/>
    </row>
    <row r="25" spans="2:24" ht="12.75">
      <c r="B25" s="47"/>
      <c r="C25" s="184">
        <f aca="true" t="shared" si="1" ref="C25:C43">C24+1</f>
        <v>2</v>
      </c>
      <c r="D25" s="226" t="s">
        <v>166</v>
      </c>
      <c r="E25" s="185">
        <v>12700</v>
      </c>
      <c r="F25" s="65">
        <f aca="true" t="shared" si="2" ref="F25:F43">(E24*E25)^0.5</f>
        <v>15554.259866673181</v>
      </c>
      <c r="G25" s="82">
        <f aca="true" t="shared" si="3" ref="G25:G43">H24-H25</f>
        <v>1.4142489331366193</v>
      </c>
      <c r="H25" s="182">
        <v>98.58575106686338</v>
      </c>
      <c r="I25" s="82">
        <f aca="true" t="shared" si="4" ref="I25:I43">J24-J25</f>
        <v>0.5778348367023227</v>
      </c>
      <c r="J25" s="182">
        <v>99.42216516329768</v>
      </c>
      <c r="K25" s="82">
        <f>Model!AA290</f>
        <v>1.086859173922399</v>
      </c>
      <c r="L25" s="91">
        <f t="shared" si="0"/>
        <v>98.91314082607765</v>
      </c>
      <c r="M25" s="34"/>
      <c r="N25" s="82">
        <f>J25</f>
        <v>99.42216516329768</v>
      </c>
      <c r="O25" s="87">
        <f>L25</f>
        <v>98.91314082607765</v>
      </c>
      <c r="P25" s="71">
        <f>IF(N25*O25&gt;1,(N25-O25)/O25*100,0)</f>
        <v>0.5146175047813527</v>
      </c>
      <c r="Q25" s="183">
        <v>1</v>
      </c>
      <c r="R25" s="86">
        <f>Q25*P25^2</f>
        <v>0.26483117622738556</v>
      </c>
      <c r="S25" s="33"/>
      <c r="V25" s="6"/>
      <c r="W25" s="6"/>
      <c r="X25" s="6"/>
    </row>
    <row r="26" spans="2:24" ht="12.75">
      <c r="B26" s="47"/>
      <c r="C26" s="184">
        <f t="shared" si="1"/>
        <v>3</v>
      </c>
      <c r="D26" s="226" t="s">
        <v>167</v>
      </c>
      <c r="E26" s="185">
        <v>9500</v>
      </c>
      <c r="F26" s="65">
        <f t="shared" si="2"/>
        <v>10984.079387914127</v>
      </c>
      <c r="G26" s="82">
        <f t="shared" si="3"/>
        <v>1.6759752153595002</v>
      </c>
      <c r="H26" s="182">
        <v>96.90977585150388</v>
      </c>
      <c r="I26" s="82">
        <f t="shared" si="4"/>
        <v>0.7504419538843479</v>
      </c>
      <c r="J26" s="182">
        <v>98.67172320941333</v>
      </c>
      <c r="K26" s="82">
        <f>Model!AA291</f>
        <v>1.0282528479771365</v>
      </c>
      <c r="L26" s="91">
        <f t="shared" si="0"/>
        <v>97.88488797810051</v>
      </c>
      <c r="M26" s="34"/>
      <c r="N26" s="82">
        <f aca="true" t="shared" si="5" ref="N26:N43">J26</f>
        <v>98.67172320941333</v>
      </c>
      <c r="O26" s="87">
        <f aca="true" t="shared" si="6" ref="O26:O43">L26</f>
        <v>97.88488797810051</v>
      </c>
      <c r="P26" s="71">
        <f aca="true" t="shared" si="7" ref="P26:P44">IF(N26*O26&gt;1,(N26-O26)/O26*100,0)</f>
        <v>0.803837290480281</v>
      </c>
      <c r="Q26" s="183">
        <v>1</v>
      </c>
      <c r="R26" s="91">
        <f aca="true" t="shared" si="8" ref="R26:R43">Q26*P26^2</f>
        <v>0.6461543895666796</v>
      </c>
      <c r="S26" s="33"/>
      <c r="V26" s="6"/>
      <c r="W26" s="6"/>
      <c r="X26" s="6"/>
    </row>
    <row r="27" spans="2:24" ht="12.75">
      <c r="B27" s="47"/>
      <c r="C27" s="184">
        <f t="shared" si="1"/>
        <v>4</v>
      </c>
      <c r="D27" s="226" t="s">
        <v>168</v>
      </c>
      <c r="E27" s="185">
        <v>6350</v>
      </c>
      <c r="F27" s="65">
        <f t="shared" si="2"/>
        <v>7766.917020285462</v>
      </c>
      <c r="G27" s="82">
        <f t="shared" si="3"/>
        <v>2.4175566686864016</v>
      </c>
      <c r="H27" s="182">
        <v>94.49221918281748</v>
      </c>
      <c r="I27" s="82">
        <f t="shared" si="4"/>
        <v>1.2692309423632935</v>
      </c>
      <c r="J27" s="182">
        <v>97.40249226705004</v>
      </c>
      <c r="K27" s="82">
        <f>Model!AA292</f>
        <v>1.0514904882118696</v>
      </c>
      <c r="L27" s="91">
        <f t="shared" si="0"/>
        <v>96.83339748988864</v>
      </c>
      <c r="M27" s="34"/>
      <c r="N27" s="82">
        <f t="shared" si="5"/>
        <v>97.40249226705004</v>
      </c>
      <c r="O27" s="87">
        <f t="shared" si="6"/>
        <v>96.83339748988864</v>
      </c>
      <c r="P27" s="71">
        <f t="shared" si="7"/>
        <v>0.5877050603546378</v>
      </c>
      <c r="Q27" s="183">
        <v>1</v>
      </c>
      <c r="R27" s="91">
        <f t="shared" si="8"/>
        <v>0.34539723796644844</v>
      </c>
      <c r="S27" s="33"/>
      <c r="V27" s="6"/>
      <c r="W27" s="6"/>
      <c r="X27" s="6"/>
    </row>
    <row r="28" spans="2:24" ht="12.75">
      <c r="B28" s="47"/>
      <c r="C28" s="184">
        <f t="shared" si="1"/>
        <v>5</v>
      </c>
      <c r="D28" s="185">
        <v>4</v>
      </c>
      <c r="E28" s="185">
        <v>4750</v>
      </c>
      <c r="F28" s="65">
        <f t="shared" si="2"/>
        <v>5492.039693957064</v>
      </c>
      <c r="G28" s="82">
        <f t="shared" si="3"/>
        <v>2.269489444688759</v>
      </c>
      <c r="H28" s="182">
        <v>92.22272973812872</v>
      </c>
      <c r="I28" s="82">
        <f t="shared" si="4"/>
        <v>1.47598263475723</v>
      </c>
      <c r="J28" s="182">
        <v>95.9265096322928</v>
      </c>
      <c r="K28" s="82">
        <f>Model!AA293</f>
        <v>0.8443776099417399</v>
      </c>
      <c r="L28" s="91">
        <f t="shared" si="0"/>
        <v>95.9890198799469</v>
      </c>
      <c r="M28" s="34"/>
      <c r="N28" s="82">
        <f t="shared" si="5"/>
        <v>95.9265096322928</v>
      </c>
      <c r="O28" s="87">
        <f t="shared" si="6"/>
        <v>95.9890198799469</v>
      </c>
      <c r="P28" s="71">
        <f t="shared" si="7"/>
        <v>-0.06512228974967156</v>
      </c>
      <c r="Q28" s="183">
        <v>1</v>
      </c>
      <c r="R28" s="91">
        <f t="shared" si="8"/>
        <v>0.004240912622240177</v>
      </c>
      <c r="S28" s="33"/>
      <c r="V28" s="6"/>
      <c r="W28" s="6"/>
      <c r="X28" s="6"/>
    </row>
    <row r="29" spans="2:24" ht="12.75">
      <c r="B29" s="47"/>
      <c r="C29" s="184">
        <f t="shared" si="1"/>
        <v>6</v>
      </c>
      <c r="D29" s="185">
        <v>6</v>
      </c>
      <c r="E29" s="185">
        <v>3350</v>
      </c>
      <c r="F29" s="65">
        <f t="shared" si="2"/>
        <v>3989.047505357639</v>
      </c>
      <c r="G29" s="82">
        <f t="shared" si="3"/>
        <v>3.0060150841711675</v>
      </c>
      <c r="H29" s="182">
        <v>89.21671465395755</v>
      </c>
      <c r="I29" s="82">
        <f t="shared" si="4"/>
        <v>1.7017514625142098</v>
      </c>
      <c r="J29" s="182">
        <v>94.2247581697786</v>
      </c>
      <c r="K29" s="82">
        <f>Model!AA294</f>
        <v>1.1545926414332293</v>
      </c>
      <c r="L29" s="91">
        <f t="shared" si="0"/>
        <v>94.83442723851367</v>
      </c>
      <c r="M29" s="34"/>
      <c r="N29" s="82">
        <f t="shared" si="5"/>
        <v>94.2247581697786</v>
      </c>
      <c r="O29" s="87">
        <f t="shared" si="6"/>
        <v>94.83442723851367</v>
      </c>
      <c r="P29" s="71">
        <f t="shared" si="7"/>
        <v>-0.6428773668888437</v>
      </c>
      <c r="Q29" s="183">
        <v>1</v>
      </c>
      <c r="R29" s="91">
        <f t="shared" si="8"/>
        <v>0.4132913088579329</v>
      </c>
      <c r="S29" s="33"/>
      <c r="V29" s="6"/>
      <c r="W29" s="6"/>
      <c r="X29" s="6"/>
    </row>
    <row r="30" spans="2:24" ht="12.75">
      <c r="B30" s="47"/>
      <c r="C30" s="184">
        <f t="shared" si="1"/>
        <v>7</v>
      </c>
      <c r="D30" s="185">
        <v>8</v>
      </c>
      <c r="E30" s="185">
        <v>2360</v>
      </c>
      <c r="F30" s="65">
        <f t="shared" si="2"/>
        <v>2811.761014026619</v>
      </c>
      <c r="G30" s="82">
        <f t="shared" si="3"/>
        <v>3.42523383436162</v>
      </c>
      <c r="H30" s="182">
        <v>85.79148081959593</v>
      </c>
      <c r="I30" s="82">
        <f t="shared" si="4"/>
        <v>1.9943879099651696</v>
      </c>
      <c r="J30" s="182">
        <v>92.23037025981343</v>
      </c>
      <c r="K30" s="82">
        <f>Model!AA295</f>
        <v>1.6803174002967114</v>
      </c>
      <c r="L30" s="91">
        <f t="shared" si="0"/>
        <v>93.15410983821695</v>
      </c>
      <c r="M30" s="34"/>
      <c r="N30" s="82">
        <f t="shared" si="5"/>
        <v>92.23037025981343</v>
      </c>
      <c r="O30" s="87">
        <f t="shared" si="6"/>
        <v>93.15410983821695</v>
      </c>
      <c r="P30" s="71">
        <f t="shared" si="7"/>
        <v>-0.9916251467678759</v>
      </c>
      <c r="Q30" s="183">
        <v>1</v>
      </c>
      <c r="R30" s="91">
        <f t="shared" si="8"/>
        <v>0.9833204317024115</v>
      </c>
      <c r="S30" s="33"/>
      <c r="V30" s="6"/>
      <c r="W30" s="6"/>
      <c r="X30" s="6"/>
    </row>
    <row r="31" spans="2:24" ht="12.75">
      <c r="B31" s="47"/>
      <c r="C31" s="184">
        <f t="shared" si="1"/>
        <v>8</v>
      </c>
      <c r="D31" s="185">
        <v>10</v>
      </c>
      <c r="E31" s="185">
        <v>1700</v>
      </c>
      <c r="F31" s="65">
        <f t="shared" si="2"/>
        <v>2002.9977533686852</v>
      </c>
      <c r="G31" s="82">
        <f t="shared" si="3"/>
        <v>3.521881556343402</v>
      </c>
      <c r="H31" s="182">
        <v>82.26959926325253</v>
      </c>
      <c r="I31" s="82">
        <f t="shared" si="4"/>
        <v>2.007282980259788</v>
      </c>
      <c r="J31" s="182">
        <v>90.22308727955364</v>
      </c>
      <c r="K31" s="82">
        <f>Model!AA296</f>
        <v>2.2858841484985613</v>
      </c>
      <c r="L31" s="91">
        <f t="shared" si="0"/>
        <v>90.86822568971839</v>
      </c>
      <c r="M31" s="34"/>
      <c r="N31" s="82">
        <f t="shared" si="5"/>
        <v>90.22308727955364</v>
      </c>
      <c r="O31" s="87">
        <f t="shared" si="6"/>
        <v>90.86822568971839</v>
      </c>
      <c r="P31" s="71">
        <f t="shared" si="7"/>
        <v>-0.7099713956863848</v>
      </c>
      <c r="Q31" s="183">
        <v>1</v>
      </c>
      <c r="R31" s="91">
        <f t="shared" si="8"/>
        <v>0.5040593826928732</v>
      </c>
      <c r="S31" s="33"/>
      <c r="V31" s="6"/>
      <c r="W31" s="6"/>
      <c r="X31" s="6"/>
    </row>
    <row r="32" spans="2:24" ht="12.75">
      <c r="B32" s="47"/>
      <c r="C32" s="184">
        <f t="shared" si="1"/>
        <v>9</v>
      </c>
      <c r="D32" s="185">
        <v>14</v>
      </c>
      <c r="E32" s="185">
        <v>1180</v>
      </c>
      <c r="F32" s="65">
        <f t="shared" si="2"/>
        <v>1416.333294108417</v>
      </c>
      <c r="G32" s="82">
        <f t="shared" si="3"/>
        <v>4.896684033251603</v>
      </c>
      <c r="H32" s="182">
        <v>77.37291523000093</v>
      </c>
      <c r="I32" s="82">
        <f t="shared" si="4"/>
        <v>2.956061967124427</v>
      </c>
      <c r="J32" s="182">
        <v>87.26702531242921</v>
      </c>
      <c r="K32" s="82">
        <f>Model!AA297</f>
        <v>3.5658384691493996</v>
      </c>
      <c r="L32" s="91">
        <f t="shared" si="0"/>
        <v>87.30238722056899</v>
      </c>
      <c r="M32" s="34"/>
      <c r="N32" s="82">
        <f t="shared" si="5"/>
        <v>87.26702531242921</v>
      </c>
      <c r="O32" s="87">
        <f t="shared" si="6"/>
        <v>87.30238722056899</v>
      </c>
      <c r="P32" s="71">
        <f t="shared" si="7"/>
        <v>-0.040505087278352454</v>
      </c>
      <c r="Q32" s="183">
        <v>1</v>
      </c>
      <c r="R32" s="91">
        <f t="shared" si="8"/>
        <v>0.0016406620954269497</v>
      </c>
      <c r="S32" s="33"/>
      <c r="V32" s="6"/>
      <c r="W32" s="6"/>
      <c r="X32" s="6"/>
    </row>
    <row r="33" spans="2:24" ht="12.75">
      <c r="B33" s="47"/>
      <c r="C33" s="184">
        <f t="shared" si="1"/>
        <v>10</v>
      </c>
      <c r="D33" s="185">
        <v>20</v>
      </c>
      <c r="E33" s="185">
        <v>850</v>
      </c>
      <c r="F33" s="65">
        <f t="shared" si="2"/>
        <v>1001.4988766843426</v>
      </c>
      <c r="G33" s="82">
        <f t="shared" si="3"/>
        <v>6.218267922962738</v>
      </c>
      <c r="H33" s="182">
        <v>71.15464730703819</v>
      </c>
      <c r="I33" s="82">
        <f t="shared" si="4"/>
        <v>4.4524975842452506</v>
      </c>
      <c r="J33" s="182">
        <v>82.81452772818396</v>
      </c>
      <c r="K33" s="82">
        <f>Model!AA298</f>
        <v>4.945761856555426</v>
      </c>
      <c r="L33" s="91">
        <f t="shared" si="0"/>
        <v>82.35662536401357</v>
      </c>
      <c r="M33" s="34"/>
      <c r="N33" s="82">
        <f t="shared" si="5"/>
        <v>82.81452772818396</v>
      </c>
      <c r="O33" s="87">
        <f t="shared" si="6"/>
        <v>82.35662536401357</v>
      </c>
      <c r="P33" s="71">
        <f t="shared" si="7"/>
        <v>0.5559994258464098</v>
      </c>
      <c r="Q33" s="183">
        <v>1</v>
      </c>
      <c r="R33" s="91">
        <f t="shared" si="8"/>
        <v>0.30913536154153737</v>
      </c>
      <c r="S33" s="33"/>
      <c r="V33" s="6"/>
      <c r="W33" s="6"/>
      <c r="X33" s="6"/>
    </row>
    <row r="34" spans="2:24" ht="12.75">
      <c r="B34" s="47"/>
      <c r="C34" s="184">
        <f t="shared" si="1"/>
        <v>11</v>
      </c>
      <c r="D34" s="185">
        <v>28</v>
      </c>
      <c r="E34" s="185">
        <v>600</v>
      </c>
      <c r="F34" s="65">
        <f t="shared" si="2"/>
        <v>714.142842854285</v>
      </c>
      <c r="G34" s="82">
        <f t="shared" si="3"/>
        <v>8.59723437881285</v>
      </c>
      <c r="H34" s="182">
        <v>62.55741292822534</v>
      </c>
      <c r="I34" s="82">
        <f t="shared" si="4"/>
        <v>6.675875505576499</v>
      </c>
      <c r="J34" s="182">
        <v>76.13865222260746</v>
      </c>
      <c r="K34" s="82">
        <f>Model!AA299</f>
        <v>7.3149935087267925</v>
      </c>
      <c r="L34" s="91">
        <f t="shared" si="0"/>
        <v>75.04163185528678</v>
      </c>
      <c r="M34" s="34"/>
      <c r="N34" s="82">
        <f t="shared" si="5"/>
        <v>76.13865222260746</v>
      </c>
      <c r="O34" s="87">
        <f t="shared" si="6"/>
        <v>75.04163185528678</v>
      </c>
      <c r="P34" s="71">
        <f t="shared" si="7"/>
        <v>1.4618823447712572</v>
      </c>
      <c r="Q34" s="183">
        <v>1</v>
      </c>
      <c r="R34" s="91">
        <f t="shared" si="8"/>
        <v>2.137099989953909</v>
      </c>
      <c r="S34" s="33"/>
      <c r="V34" s="6"/>
      <c r="W34" s="6"/>
      <c r="X34" s="6"/>
    </row>
    <row r="35" spans="2:24" ht="12.75">
      <c r="B35" s="47"/>
      <c r="C35" s="184">
        <f t="shared" si="1"/>
        <v>12</v>
      </c>
      <c r="D35" s="185">
        <v>35</v>
      </c>
      <c r="E35" s="185">
        <v>425</v>
      </c>
      <c r="F35" s="65">
        <f t="shared" si="2"/>
        <v>504.9752469181039</v>
      </c>
      <c r="G35" s="82">
        <f t="shared" si="3"/>
        <v>13.004844364384482</v>
      </c>
      <c r="H35" s="182">
        <v>49.55256856384086</v>
      </c>
      <c r="I35" s="82">
        <f t="shared" si="4"/>
        <v>11.571029392419447</v>
      </c>
      <c r="J35" s="182">
        <v>64.56762283018801</v>
      </c>
      <c r="K35" s="82">
        <f>Model!AA300</f>
        <v>11.258057018924308</v>
      </c>
      <c r="L35" s="91">
        <f t="shared" si="0"/>
        <v>63.783574836362476</v>
      </c>
      <c r="M35" s="34"/>
      <c r="N35" s="82">
        <f t="shared" si="5"/>
        <v>64.56762283018801</v>
      </c>
      <c r="O35" s="87">
        <f t="shared" si="6"/>
        <v>63.783574836362476</v>
      </c>
      <c r="P35" s="71">
        <f t="shared" si="7"/>
        <v>1.2292318137342144</v>
      </c>
      <c r="Q35" s="183">
        <v>1</v>
      </c>
      <c r="R35" s="91">
        <f t="shared" si="8"/>
        <v>1.5110108518963064</v>
      </c>
      <c r="S35" s="33"/>
      <c r="V35" s="6"/>
      <c r="W35" s="6"/>
      <c r="X35" s="6"/>
    </row>
    <row r="36" spans="2:24" ht="12.75">
      <c r="B36" s="47"/>
      <c r="C36" s="184">
        <f t="shared" si="1"/>
        <v>13</v>
      </c>
      <c r="D36" s="185">
        <v>48</v>
      </c>
      <c r="E36" s="185">
        <v>300</v>
      </c>
      <c r="F36" s="65">
        <f t="shared" si="2"/>
        <v>357.0714214271425</v>
      </c>
      <c r="G36" s="82">
        <f t="shared" si="3"/>
        <v>14.008716887765786</v>
      </c>
      <c r="H36" s="182">
        <v>35.54385167607507</v>
      </c>
      <c r="I36" s="82">
        <f t="shared" si="4"/>
        <v>14.084190365465233</v>
      </c>
      <c r="J36" s="182">
        <v>50.48343246472278</v>
      </c>
      <c r="K36" s="82">
        <f>Model!AA301</f>
        <v>13.550756883112454</v>
      </c>
      <c r="L36" s="91">
        <f t="shared" si="0"/>
        <v>50.23281795325002</v>
      </c>
      <c r="M36" s="34"/>
      <c r="N36" s="82">
        <f t="shared" si="5"/>
        <v>50.48343246472278</v>
      </c>
      <c r="O36" s="87">
        <f t="shared" si="6"/>
        <v>50.23281795325002</v>
      </c>
      <c r="P36" s="71">
        <f t="shared" si="7"/>
        <v>0.49890593775965353</v>
      </c>
      <c r="Q36" s="183">
        <v>1</v>
      </c>
      <c r="R36" s="91">
        <f t="shared" si="8"/>
        <v>0.24890713473183929</v>
      </c>
      <c r="S36" s="33"/>
      <c r="V36" s="6"/>
      <c r="W36" s="6"/>
      <c r="X36" s="6"/>
    </row>
    <row r="37" spans="2:24" ht="12.75">
      <c r="B37" s="47"/>
      <c r="C37" s="184">
        <f t="shared" si="1"/>
        <v>14</v>
      </c>
      <c r="D37" s="185">
        <v>65</v>
      </c>
      <c r="E37" s="185">
        <v>212</v>
      </c>
      <c r="F37" s="65">
        <f t="shared" si="2"/>
        <v>252.19040425836982</v>
      </c>
      <c r="G37" s="82">
        <f t="shared" si="3"/>
        <v>12.555612849046476</v>
      </c>
      <c r="H37" s="182">
        <v>22.988238827028596</v>
      </c>
      <c r="I37" s="82">
        <f t="shared" si="4"/>
        <v>14.071873955859232</v>
      </c>
      <c r="J37" s="182">
        <v>36.41155850886355</v>
      </c>
      <c r="K37" s="82">
        <f>Model!AA302</f>
        <v>13.398299207756923</v>
      </c>
      <c r="L37" s="91">
        <f t="shared" si="0"/>
        <v>36.8345187454931</v>
      </c>
      <c r="M37" s="34"/>
      <c r="N37" s="82">
        <f t="shared" si="5"/>
        <v>36.41155850886355</v>
      </c>
      <c r="O37" s="87">
        <f t="shared" si="6"/>
        <v>36.8345187454931</v>
      </c>
      <c r="P37" s="71">
        <f t="shared" si="7"/>
        <v>-1.1482713797673845</v>
      </c>
      <c r="Q37" s="183">
        <v>1</v>
      </c>
      <c r="R37" s="91">
        <f t="shared" si="8"/>
        <v>1.3185271615928928</v>
      </c>
      <c r="S37" s="33"/>
      <c r="V37" s="6"/>
      <c r="W37" s="6"/>
      <c r="X37" s="6"/>
    </row>
    <row r="38" spans="2:24" ht="12.75">
      <c r="B38" s="47"/>
      <c r="C38" s="184">
        <f t="shared" si="1"/>
        <v>15</v>
      </c>
      <c r="D38" s="185">
        <v>100</v>
      </c>
      <c r="E38" s="185">
        <v>150</v>
      </c>
      <c r="F38" s="65">
        <f t="shared" si="2"/>
        <v>178.3255450012701</v>
      </c>
      <c r="G38" s="82">
        <f t="shared" si="3"/>
        <v>7.929469328819653</v>
      </c>
      <c r="H38" s="182">
        <v>15.058769498208942</v>
      </c>
      <c r="I38" s="82">
        <f t="shared" si="4"/>
        <v>9.466664224896498</v>
      </c>
      <c r="J38" s="182">
        <v>26.944894283967052</v>
      </c>
      <c r="K38" s="82">
        <f>Model!AA303</f>
        <v>9.863368700348389</v>
      </c>
      <c r="L38" s="91">
        <f t="shared" si="0"/>
        <v>26.971150045144714</v>
      </c>
      <c r="M38" s="34"/>
      <c r="N38" s="82">
        <f t="shared" si="5"/>
        <v>26.944894283967052</v>
      </c>
      <c r="O38" s="87">
        <f t="shared" si="6"/>
        <v>26.971150045144714</v>
      </c>
      <c r="P38" s="71">
        <f t="shared" si="7"/>
        <v>-0.09734757744373104</v>
      </c>
      <c r="Q38" s="183">
        <v>1</v>
      </c>
      <c r="R38" s="91">
        <f t="shared" si="8"/>
        <v>0.009476550834163213</v>
      </c>
      <c r="S38" s="33"/>
      <c r="V38" s="6"/>
      <c r="W38" s="6"/>
      <c r="X38" s="6"/>
    </row>
    <row r="39" spans="2:24" ht="12.75">
      <c r="B39" s="47"/>
      <c r="C39" s="184">
        <f t="shared" si="1"/>
        <v>16</v>
      </c>
      <c r="D39" s="185">
        <v>150</v>
      </c>
      <c r="E39" s="185">
        <v>106</v>
      </c>
      <c r="F39" s="65">
        <f t="shared" si="2"/>
        <v>126.09520212918491</v>
      </c>
      <c r="G39" s="82">
        <f t="shared" si="3"/>
        <v>5.403191362703431</v>
      </c>
      <c r="H39" s="182">
        <v>9.655578135505511</v>
      </c>
      <c r="I39" s="82">
        <f t="shared" si="4"/>
        <v>7.3428514027505365</v>
      </c>
      <c r="J39" s="182">
        <v>19.602042881216516</v>
      </c>
      <c r="K39" s="82">
        <f>Model!AA304</f>
        <v>7.2610089853144855</v>
      </c>
      <c r="L39" s="91">
        <f t="shared" si="0"/>
        <v>19.710141059830228</v>
      </c>
      <c r="M39" s="34"/>
      <c r="N39" s="82">
        <f t="shared" si="5"/>
        <v>19.602042881216516</v>
      </c>
      <c r="O39" s="87">
        <f t="shared" si="6"/>
        <v>19.710141059830228</v>
      </c>
      <c r="P39" s="71">
        <f t="shared" si="7"/>
        <v>-0.5484393961746886</v>
      </c>
      <c r="Q39" s="183">
        <v>1</v>
      </c>
      <c r="R39" s="91">
        <f t="shared" si="8"/>
        <v>0.30078577127645706</v>
      </c>
      <c r="S39" s="33"/>
      <c r="V39" s="6"/>
      <c r="W39" s="6"/>
      <c r="X39" s="6"/>
    </row>
    <row r="40" spans="2:24" ht="12.75">
      <c r="B40" s="47"/>
      <c r="C40" s="184">
        <f t="shared" si="1"/>
        <v>17</v>
      </c>
      <c r="D40" s="185">
        <v>200</v>
      </c>
      <c r="E40" s="185">
        <v>75</v>
      </c>
      <c r="F40" s="65">
        <f t="shared" si="2"/>
        <v>89.16277250063504</v>
      </c>
      <c r="G40" s="82">
        <f t="shared" si="3"/>
        <v>3.371854879254177</v>
      </c>
      <c r="H40" s="182">
        <v>6.283723256251334</v>
      </c>
      <c r="I40" s="82">
        <f t="shared" si="4"/>
        <v>4.838015876070301</v>
      </c>
      <c r="J40" s="182">
        <v>14.764027005146215</v>
      </c>
      <c r="K40" s="82">
        <f>Model!AA305</f>
        <v>5.000560185860598</v>
      </c>
      <c r="L40" s="91">
        <f t="shared" si="0"/>
        <v>14.709580873969628</v>
      </c>
      <c r="M40" s="34"/>
      <c r="N40" s="82">
        <f t="shared" si="5"/>
        <v>14.764027005146215</v>
      </c>
      <c r="O40" s="87">
        <f t="shared" si="6"/>
        <v>14.709580873969628</v>
      </c>
      <c r="P40" s="71">
        <f t="shared" si="7"/>
        <v>0.37014060185042696</v>
      </c>
      <c r="Q40" s="183">
        <v>1</v>
      </c>
      <c r="R40" s="91">
        <f t="shared" si="8"/>
        <v>0.1370040651381963</v>
      </c>
      <c r="S40" s="33"/>
      <c r="V40" s="6"/>
      <c r="W40" s="6"/>
      <c r="X40" s="6"/>
    </row>
    <row r="41" spans="2:24" ht="12.75">
      <c r="B41" s="47"/>
      <c r="C41" s="184">
        <f t="shared" si="1"/>
        <v>18</v>
      </c>
      <c r="D41" s="185">
        <v>270</v>
      </c>
      <c r="E41" s="185">
        <v>53</v>
      </c>
      <c r="F41" s="65">
        <f t="shared" si="2"/>
        <v>63.047601064592456</v>
      </c>
      <c r="G41" s="82">
        <f t="shared" si="3"/>
        <v>2.160162707099266</v>
      </c>
      <c r="H41" s="182">
        <v>4.123560549152068</v>
      </c>
      <c r="I41" s="82">
        <f t="shared" si="4"/>
        <v>3.60978421354514</v>
      </c>
      <c r="J41" s="182">
        <v>11.154242791601074</v>
      </c>
      <c r="K41" s="82">
        <f>Model!AA306</f>
        <v>3.5174406294826897</v>
      </c>
      <c r="L41" s="91">
        <f t="shared" si="0"/>
        <v>11.19214024448694</v>
      </c>
      <c r="M41" s="34"/>
      <c r="N41" s="82">
        <f t="shared" si="5"/>
        <v>11.154242791601074</v>
      </c>
      <c r="O41" s="87">
        <f t="shared" si="6"/>
        <v>11.19214024448694</v>
      </c>
      <c r="P41" s="71">
        <f t="shared" si="7"/>
        <v>-0.3386077377339203</v>
      </c>
      <c r="Q41" s="183">
        <v>1</v>
      </c>
      <c r="R41" s="91">
        <f t="shared" si="8"/>
        <v>0.11465520005328333</v>
      </c>
      <c r="S41" s="33"/>
      <c r="V41" s="6"/>
      <c r="W41" s="6"/>
      <c r="X41" s="6"/>
    </row>
    <row r="42" spans="2:24" ht="12.75">
      <c r="B42" s="47"/>
      <c r="C42" s="184">
        <f t="shared" si="1"/>
        <v>19</v>
      </c>
      <c r="D42" s="185">
        <v>325</v>
      </c>
      <c r="E42" s="185">
        <v>44</v>
      </c>
      <c r="F42" s="65">
        <f t="shared" si="2"/>
        <v>48.29078587059855</v>
      </c>
      <c r="G42" s="82">
        <f t="shared" si="3"/>
        <v>0.6891795566492425</v>
      </c>
      <c r="H42" s="182">
        <v>3.4343809925028257</v>
      </c>
      <c r="I42" s="82">
        <f t="shared" si="4"/>
        <v>1.2446799746526604</v>
      </c>
      <c r="J42" s="182">
        <v>9.909562816948414</v>
      </c>
      <c r="K42" s="82">
        <f>Model!AA307</f>
        <v>1.3456334711764621</v>
      </c>
      <c r="L42" s="91">
        <f t="shared" si="0"/>
        <v>9.846506773310477</v>
      </c>
      <c r="M42" s="34"/>
      <c r="N42" s="82">
        <f t="shared" si="5"/>
        <v>9.909562816948414</v>
      </c>
      <c r="O42" s="87">
        <f t="shared" si="6"/>
        <v>9.846506773310477</v>
      </c>
      <c r="P42" s="71">
        <f t="shared" si="7"/>
        <v>0.6403899889537912</v>
      </c>
      <c r="Q42" s="183">
        <v>1</v>
      </c>
      <c r="R42" s="91">
        <f t="shared" si="8"/>
        <v>0.4100993379522368</v>
      </c>
      <c r="S42" s="33"/>
      <c r="V42" s="6"/>
      <c r="W42" s="6"/>
      <c r="X42" s="6"/>
    </row>
    <row r="43" spans="2:24" ht="12.75">
      <c r="B43" s="47"/>
      <c r="C43" s="184">
        <f t="shared" si="1"/>
        <v>20</v>
      </c>
      <c r="D43" s="185">
        <v>400</v>
      </c>
      <c r="E43" s="186">
        <v>37</v>
      </c>
      <c r="F43" s="65">
        <f t="shared" si="2"/>
        <v>40.34848200366403</v>
      </c>
      <c r="G43" s="82">
        <f t="shared" si="3"/>
        <v>0.4605278809796971</v>
      </c>
      <c r="H43" s="182">
        <v>2.9738531115231286</v>
      </c>
      <c r="I43" s="82">
        <f t="shared" si="4"/>
        <v>1.0983482001582932</v>
      </c>
      <c r="J43" s="182">
        <v>8.81121461679012</v>
      </c>
      <c r="K43" s="82">
        <f>Model!AA308</f>
        <v>1.0034524219146945</v>
      </c>
      <c r="L43" s="91">
        <f>K44</f>
        <v>8.843054351395782</v>
      </c>
      <c r="M43" s="34"/>
      <c r="N43" s="82">
        <f t="shared" si="5"/>
        <v>8.81121461679012</v>
      </c>
      <c r="O43" s="87">
        <f t="shared" si="6"/>
        <v>8.843054351395782</v>
      </c>
      <c r="P43" s="71">
        <f t="shared" si="7"/>
        <v>-0.36005358940981513</v>
      </c>
      <c r="Q43" s="183">
        <v>1</v>
      </c>
      <c r="R43" s="91">
        <f t="shared" si="8"/>
        <v>0.12963858724689173</v>
      </c>
      <c r="S43" s="33"/>
      <c r="V43" s="6"/>
      <c r="W43" s="6"/>
      <c r="X43" s="6"/>
    </row>
    <row r="44" spans="2:19" ht="12.75">
      <c r="B44" s="47"/>
      <c r="C44" s="184">
        <v>21</v>
      </c>
      <c r="D44" s="184">
        <f>-D43</f>
        <v>-400</v>
      </c>
      <c r="E44" s="184">
        <v>0</v>
      </c>
      <c r="F44" s="40">
        <f>(E43+E44)/2</f>
        <v>18.5</v>
      </c>
      <c r="G44" s="83">
        <f>H43</f>
        <v>2.9738531115231286</v>
      </c>
      <c r="H44" s="84">
        <v>0</v>
      </c>
      <c r="I44" s="83">
        <f>J43</f>
        <v>8.81121461679012</v>
      </c>
      <c r="J44" s="84">
        <v>0</v>
      </c>
      <c r="K44" s="83">
        <f>Model!AA309</f>
        <v>8.843054351395782</v>
      </c>
      <c r="L44" s="92">
        <v>0</v>
      </c>
      <c r="M44" s="34"/>
      <c r="N44" s="90">
        <v>0</v>
      </c>
      <c r="O44" s="88">
        <v>0</v>
      </c>
      <c r="P44" s="41">
        <f t="shared" si="7"/>
        <v>0</v>
      </c>
      <c r="Q44" s="183">
        <v>0</v>
      </c>
      <c r="R44" s="92">
        <v>0</v>
      </c>
      <c r="S44" s="33"/>
    </row>
    <row r="45" spans="2:19" ht="12.75">
      <c r="B45" s="47"/>
      <c r="C45" s="34"/>
      <c r="D45" s="34"/>
      <c r="E45" s="34"/>
      <c r="F45" s="34"/>
      <c r="G45" s="34"/>
      <c r="H45" s="34"/>
      <c r="I45" s="34"/>
      <c r="J45" s="34"/>
      <c r="K45" s="34"/>
      <c r="L45" s="34"/>
      <c r="M45" s="34"/>
      <c r="N45" s="34"/>
      <c r="O45" s="34"/>
      <c r="P45" s="34"/>
      <c r="Q45" s="34"/>
      <c r="R45" s="34"/>
      <c r="S45" s="33"/>
    </row>
    <row r="46" spans="2:19" ht="12.75">
      <c r="B46" s="47"/>
      <c r="C46" s="34"/>
      <c r="D46" s="34"/>
      <c r="E46" s="34"/>
      <c r="F46" s="34"/>
      <c r="G46" s="34"/>
      <c r="H46" s="34"/>
      <c r="I46" s="34"/>
      <c r="J46" s="34"/>
      <c r="K46" s="34"/>
      <c r="L46" s="34"/>
      <c r="M46" s="34"/>
      <c r="N46" s="34"/>
      <c r="O46" s="34"/>
      <c r="P46" s="34" t="s">
        <v>48</v>
      </c>
      <c r="Q46" s="37">
        <f>SUM(Q25:Q43)</f>
        <v>19</v>
      </c>
      <c r="R46" s="37">
        <f>SUM(R25:R43)</f>
        <v>9.78927551394911</v>
      </c>
      <c r="S46" s="33"/>
    </row>
    <row r="47" spans="2:19" ht="13.5" thickBot="1">
      <c r="B47" s="57"/>
      <c r="C47" s="38"/>
      <c r="D47" s="38"/>
      <c r="E47" s="38"/>
      <c r="F47" s="38"/>
      <c r="G47" s="38"/>
      <c r="H47" s="38"/>
      <c r="I47" s="38"/>
      <c r="J47" s="38"/>
      <c r="K47" s="38"/>
      <c r="L47" s="38"/>
      <c r="M47" s="38"/>
      <c r="N47" s="38"/>
      <c r="O47" s="38"/>
      <c r="P47" s="38"/>
      <c r="Q47" s="38"/>
      <c r="R47" s="38"/>
      <c r="S47" s="39"/>
    </row>
    <row r="48" ht="13.5" thickTop="1"/>
    <row r="49" spans="3:11" ht="12.75">
      <c r="C49" s="132"/>
      <c r="D49" s="132"/>
      <c r="E49" s="132"/>
      <c r="F49" s="132"/>
      <c r="G49" s="132"/>
      <c r="H49" s="132"/>
      <c r="I49" s="132"/>
      <c r="J49" s="133"/>
      <c r="K49" s="132"/>
    </row>
    <row r="50" spans="3:11" ht="12.75">
      <c r="C50" s="132"/>
      <c r="D50" s="132"/>
      <c r="E50" s="132"/>
      <c r="F50" s="132"/>
      <c r="G50" s="134"/>
      <c r="H50" s="132"/>
      <c r="I50" s="132"/>
      <c r="J50" s="133"/>
      <c r="K50" s="132"/>
    </row>
  </sheetData>
  <sheetProtection password="CD50" sheet="1" objects="1" scenarios="1" insertColumns="0" insertRows="0"/>
  <mergeCells count="14">
    <mergeCell ref="I16:J16"/>
    <mergeCell ref="H9:I9"/>
    <mergeCell ref="H10:I10"/>
    <mergeCell ref="H11:I11"/>
    <mergeCell ref="C3:R3"/>
    <mergeCell ref="N21:O21"/>
    <mergeCell ref="N20:R20"/>
    <mergeCell ref="D5:I5"/>
    <mergeCell ref="D6:I6"/>
    <mergeCell ref="G20:L20"/>
    <mergeCell ref="G21:H21"/>
    <mergeCell ref="I21:J21"/>
    <mergeCell ref="K21:L21"/>
    <mergeCell ref="H15:J15"/>
  </mergeCells>
  <printOptions gridLines="1" horizontalCentered="1"/>
  <pageMargins left="0.25" right="0.25" top="0.5" bottom="1" header="0" footer="0.5"/>
  <pageSetup horizontalDpi="300" verticalDpi="300" orientation="landscape" scale="80"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P54"/>
  <sheetViews>
    <sheetView zoomScale="130" zoomScaleNormal="130" workbookViewId="0" topLeftCell="A27">
      <selection activeCell="E45" sqref="E45"/>
    </sheetView>
  </sheetViews>
  <sheetFormatPr defaultColWidth="11.421875" defaultRowHeight="12.75"/>
  <cols>
    <col min="1" max="1" width="2.7109375" style="0" customWidth="1"/>
    <col min="2" max="2" width="10.7109375" style="0" customWidth="1"/>
    <col min="3" max="3" width="11.7109375" style="0" customWidth="1"/>
    <col min="4" max="4" width="6.7109375" style="0" customWidth="1"/>
    <col min="5" max="6" width="9.7109375" style="0" customWidth="1"/>
    <col min="7" max="7" width="2.7109375" style="0" customWidth="1"/>
    <col min="8" max="8" width="9.7109375" style="0" customWidth="1"/>
    <col min="9" max="9" width="6.7109375" style="0" customWidth="1"/>
    <col min="10" max="10" width="12.7109375" style="0" customWidth="1"/>
    <col min="11" max="11" width="9.7109375" style="0" customWidth="1"/>
    <col min="12" max="12" width="2.7109375" style="0" customWidth="1"/>
    <col min="13" max="16384" width="9.140625" style="0" customWidth="1"/>
  </cols>
  <sheetData>
    <row r="1" spans="2:11" ht="19.5">
      <c r="B1" s="99"/>
      <c r="E1" s="210" t="s">
        <v>163</v>
      </c>
      <c r="F1" s="210"/>
      <c r="G1" s="210"/>
      <c r="H1" s="210"/>
      <c r="J1" s="14" t="s">
        <v>41</v>
      </c>
      <c r="K1" s="15">
        <f>Data_File!R5</f>
        <v>1</v>
      </c>
    </row>
    <row r="2" spans="2:11" ht="16.5">
      <c r="B2" s="213" t="s">
        <v>71</v>
      </c>
      <c r="C2" s="213"/>
      <c r="D2" s="213"/>
      <c r="E2" s="213"/>
      <c r="F2" s="213"/>
      <c r="G2" s="213"/>
      <c r="H2" s="213"/>
      <c r="I2" s="213"/>
      <c r="J2" s="213"/>
      <c r="K2" s="213"/>
    </row>
    <row r="3" spans="2:11" ht="12.75">
      <c r="B3" s="210" t="s">
        <v>72</v>
      </c>
      <c r="C3" s="210"/>
      <c r="D3" s="210"/>
      <c r="E3" s="210"/>
      <c r="F3" s="210"/>
      <c r="G3" s="210"/>
      <c r="H3" s="210"/>
      <c r="I3" s="210"/>
      <c r="J3" s="210"/>
      <c r="K3" s="210"/>
    </row>
    <row r="5" spans="2:11" ht="12.75">
      <c r="B5" t="s">
        <v>38</v>
      </c>
      <c r="C5" s="58" t="str">
        <f>Data_File!D5</f>
        <v> Base Case Example</v>
      </c>
      <c r="D5" s="59"/>
      <c r="E5" s="59"/>
      <c r="F5" s="59"/>
      <c r="G5" s="59"/>
      <c r="H5" s="59"/>
      <c r="I5" s="59"/>
      <c r="J5" s="59"/>
      <c r="K5" s="60"/>
    </row>
    <row r="6" spans="3:11" ht="12.75">
      <c r="C6" s="61" t="str">
        <f>Data_File!D6</f>
        <v> </v>
      </c>
      <c r="D6" s="62"/>
      <c r="E6" s="62"/>
      <c r="F6" s="62"/>
      <c r="G6" s="62"/>
      <c r="H6" s="62"/>
      <c r="I6" s="62"/>
      <c r="J6" s="62"/>
      <c r="K6" s="63"/>
    </row>
    <row r="8" spans="2:11" ht="15.75">
      <c r="B8" s="214" t="s">
        <v>58</v>
      </c>
      <c r="C8" s="214"/>
      <c r="D8" s="214"/>
      <c r="E8" s="214"/>
      <c r="F8" s="214"/>
      <c r="G8" s="214"/>
      <c r="H8" s="214"/>
      <c r="I8" s="214"/>
      <c r="J8" s="214"/>
      <c r="K8" s="214"/>
    </row>
    <row r="9" spans="2:11" ht="12.75">
      <c r="B9" s="215" t="s">
        <v>73</v>
      </c>
      <c r="C9" s="215"/>
      <c r="D9" s="215"/>
      <c r="E9" s="215"/>
      <c r="F9" s="215"/>
      <c r="G9" s="215"/>
      <c r="H9" s="215"/>
      <c r="I9" s="215"/>
      <c r="J9" s="215"/>
      <c r="K9" s="215"/>
    </row>
    <row r="10" spans="2:11" ht="12.75">
      <c r="B10" s="8"/>
      <c r="C10" s="8"/>
      <c r="D10" s="8"/>
      <c r="E10" s="8"/>
      <c r="F10" s="8"/>
      <c r="G10" s="8"/>
      <c r="H10" s="8"/>
      <c r="I10" s="8"/>
      <c r="J10" s="8"/>
      <c r="K10" s="8"/>
    </row>
    <row r="11" spans="2:11" ht="12.75">
      <c r="B11" s="7" t="s">
        <v>66</v>
      </c>
      <c r="D11" s="5">
        <f>Data_File!R15</f>
        <v>5269.354300548002</v>
      </c>
      <c r="E11" s="5"/>
      <c r="F11" s="5"/>
      <c r="G11" s="5"/>
      <c r="H11" s="5"/>
      <c r="I11" s="18" t="s">
        <v>157</v>
      </c>
      <c r="J11" s="5"/>
      <c r="K11" s="6">
        <f>Data_File!C11</f>
        <v>23.5</v>
      </c>
    </row>
    <row r="12" spans="2:11" ht="12.75">
      <c r="B12" s="7" t="s">
        <v>65</v>
      </c>
      <c r="D12" s="5">
        <f>D13-D11</f>
        <v>1204.0539310834502</v>
      </c>
      <c r="E12" s="5"/>
      <c r="F12" s="5"/>
      <c r="G12" s="5"/>
      <c r="H12" s="5"/>
      <c r="I12" s="18" t="s">
        <v>158</v>
      </c>
      <c r="J12" s="5"/>
      <c r="K12" s="6">
        <f>Data_File!D11</f>
        <v>35</v>
      </c>
    </row>
    <row r="13" spans="2:11" ht="12.75">
      <c r="B13" s="7" t="s">
        <v>67</v>
      </c>
      <c r="D13" s="5">
        <f>D11/D16*100</f>
        <v>6473.4082316314525</v>
      </c>
      <c r="E13" s="5"/>
      <c r="F13" s="5"/>
      <c r="G13" s="5"/>
      <c r="H13" s="5"/>
      <c r="I13" s="18" t="s">
        <v>144</v>
      </c>
      <c r="J13" s="5"/>
      <c r="K13" s="5">
        <f>Data_File!G11</f>
        <v>34</v>
      </c>
    </row>
    <row r="14" spans="2:11" ht="12.75">
      <c r="B14" s="7" t="s">
        <v>68</v>
      </c>
      <c r="D14" s="5">
        <f>D11/Data_File!E16+D12</f>
        <v>2753.864019479922</v>
      </c>
      <c r="E14" s="5"/>
      <c r="F14" s="5"/>
      <c r="G14" s="5"/>
      <c r="H14" s="5"/>
      <c r="I14" s="18" t="s">
        <v>59</v>
      </c>
      <c r="J14" s="5"/>
      <c r="K14" s="5">
        <f>Data_File!E11</f>
        <v>65.3</v>
      </c>
    </row>
    <row r="15" spans="2:11" ht="12.75">
      <c r="B15" s="7" t="s">
        <v>69</v>
      </c>
      <c r="D15" s="2">
        <f>D13/D14</f>
        <v>2.350663716814159</v>
      </c>
      <c r="E15" s="2"/>
      <c r="F15" s="2"/>
      <c r="G15" s="2"/>
      <c r="H15" s="2"/>
      <c r="I15" s="19" t="s">
        <v>60</v>
      </c>
      <c r="J15" s="2"/>
      <c r="K15" s="2">
        <f>Data_File!K18</f>
        <v>5.620265486725664</v>
      </c>
    </row>
    <row r="16" spans="2:11" ht="12.75">
      <c r="B16" s="7" t="s">
        <v>39</v>
      </c>
      <c r="D16" s="5">
        <f>Data_File!E15</f>
        <v>81.4</v>
      </c>
      <c r="E16" s="5"/>
      <c r="F16" s="5"/>
      <c r="G16" s="5"/>
      <c r="H16" s="5"/>
      <c r="I16" s="18" t="s">
        <v>145</v>
      </c>
      <c r="J16" s="5"/>
      <c r="K16" s="6">
        <f>Data_File!K11</f>
        <v>7390.8</v>
      </c>
    </row>
    <row r="17" spans="2:11" ht="12.75">
      <c r="B17" s="170" t="s">
        <v>164</v>
      </c>
      <c r="C17" s="171"/>
      <c r="D17" s="172">
        <f>(D14*35.31/60)/(K14/100)/(K11^2.5)/(0.5-0.6*Data_File!$F$11/100)</f>
        <v>3.131947049305233</v>
      </c>
      <c r="E17" s="173"/>
      <c r="F17" s="173"/>
      <c r="G17" s="173"/>
      <c r="H17" s="173"/>
      <c r="I17" s="174" t="s">
        <v>119</v>
      </c>
      <c r="J17" s="173"/>
      <c r="K17" s="172">
        <f>Data_File!R17</f>
        <v>1.4026006942124525</v>
      </c>
    </row>
    <row r="18" spans="5:11" ht="12.75">
      <c r="E18" s="2"/>
      <c r="F18" s="2"/>
      <c r="G18" s="2"/>
      <c r="H18" s="2"/>
      <c r="I18" s="19"/>
      <c r="J18" s="2"/>
      <c r="K18" s="2"/>
    </row>
    <row r="19" spans="4:9" ht="12.75">
      <c r="D19" s="212" t="s">
        <v>61</v>
      </c>
      <c r="E19" s="212"/>
      <c r="F19" s="212"/>
      <c r="G19" s="212"/>
      <c r="H19" s="212"/>
      <c r="I19" s="212"/>
    </row>
    <row r="20" spans="4:9" ht="12.75">
      <c r="D20" s="4"/>
      <c r="E20" s="4"/>
      <c r="F20" s="4"/>
      <c r="G20" s="4"/>
      <c r="H20" s="4"/>
      <c r="I20" s="4"/>
    </row>
    <row r="21" spans="1:11" ht="12.75">
      <c r="A21" s="3" t="s">
        <v>2</v>
      </c>
      <c r="B21" s="4" t="s">
        <v>0</v>
      </c>
      <c r="C21" s="4" t="s">
        <v>1</v>
      </c>
      <c r="E21" s="4" t="s">
        <v>18</v>
      </c>
      <c r="F21" s="211" t="s">
        <v>22</v>
      </c>
      <c r="G21" s="211"/>
      <c r="H21" s="211"/>
      <c r="I21" s="4"/>
      <c r="J21" s="4"/>
      <c r="K21" s="4"/>
    </row>
    <row r="22" spans="1:11" ht="12.75">
      <c r="A22" s="4"/>
      <c r="B22" s="4"/>
      <c r="C22" s="4"/>
      <c r="E22" s="4"/>
      <c r="F22" s="4" t="s">
        <v>62</v>
      </c>
      <c r="G22" s="4"/>
      <c r="H22" s="4" t="s">
        <v>50</v>
      </c>
      <c r="I22" s="4"/>
      <c r="J22" s="4"/>
      <c r="K22" s="4"/>
    </row>
    <row r="23" spans="1:11" ht="12.75">
      <c r="A23" s="4"/>
      <c r="B23" s="4"/>
      <c r="C23" s="4"/>
      <c r="E23" s="4"/>
      <c r="F23" s="4"/>
      <c r="G23" s="4"/>
      <c r="H23" s="4"/>
      <c r="I23" s="4"/>
      <c r="J23" s="4"/>
      <c r="K23" s="4"/>
    </row>
    <row r="24" spans="1:16" ht="12.75">
      <c r="A24" s="12">
        <v>1</v>
      </c>
      <c r="B24" t="str">
        <f>Data_File!D24</f>
        <v>3/4"</v>
      </c>
      <c r="C24">
        <f>Data_File!E24</f>
        <v>19050</v>
      </c>
      <c r="E24" s="27">
        <f>Data_File!H24</f>
        <v>100</v>
      </c>
      <c r="F24" s="27">
        <f>Data_File!J24</f>
        <v>100</v>
      </c>
      <c r="G24" s="31" t="s">
        <v>63</v>
      </c>
      <c r="H24" s="27">
        <f>Data_File!L24</f>
        <v>100.00000000000006</v>
      </c>
      <c r="I24" s="6"/>
      <c r="J24" s="23"/>
      <c r="K24" s="23"/>
      <c r="N24" s="94">
        <f aca="true" t="shared" si="0" ref="N24:N43">IF(E24&gt;80,IF(E25&lt;80,$C25*EXP(LN(80/E25)*LN($C24/$C25)/LN(E24/E25)),0),0)</f>
        <v>0</v>
      </c>
      <c r="O24" s="94">
        <f aca="true" t="shared" si="1" ref="O24:O43">IF(F24&gt;80,IF(F25&lt;80,$C25*EXP(LN(80/F25)*LN($C24/$C25)/LN(F24/F25)),0),0)</f>
        <v>0</v>
      </c>
      <c r="P24" s="94">
        <f aca="true" t="shared" si="2" ref="P24:P43">IF(H24&gt;80,IF(H25&lt;80,$C25*EXP(LN(80/H25)*LN($C24/$C25)/LN(H24/H25)),0),0)</f>
        <v>0</v>
      </c>
    </row>
    <row r="25" spans="1:16" ht="12.75">
      <c r="A25" s="12">
        <v>2</v>
      </c>
      <c r="B25" t="str">
        <f>Data_File!D25</f>
        <v>1/2"</v>
      </c>
      <c r="C25">
        <f>Data_File!E25</f>
        <v>12700</v>
      </c>
      <c r="E25" s="27">
        <f>Data_File!H25</f>
        <v>98.58575106686338</v>
      </c>
      <c r="F25" s="27">
        <f>Data_File!J25</f>
        <v>99.42216516329768</v>
      </c>
      <c r="G25" s="31" t="s">
        <v>63</v>
      </c>
      <c r="H25" s="27">
        <f>Data_File!L25</f>
        <v>98.91314082607765</v>
      </c>
      <c r="I25" s="6"/>
      <c r="J25" s="23"/>
      <c r="K25" s="23"/>
      <c r="N25" s="94">
        <f t="shared" si="0"/>
        <v>0</v>
      </c>
      <c r="O25" s="94">
        <f t="shared" si="1"/>
        <v>0</v>
      </c>
      <c r="P25" s="94">
        <f t="shared" si="2"/>
        <v>0</v>
      </c>
    </row>
    <row r="26" spans="1:16" ht="12.75">
      <c r="A26" s="12">
        <v>3</v>
      </c>
      <c r="B26" t="str">
        <f>Data_File!D26</f>
        <v>3/8"</v>
      </c>
      <c r="C26">
        <f>Data_File!E26</f>
        <v>9500</v>
      </c>
      <c r="E26" s="27">
        <f>Data_File!H26</f>
        <v>96.90977585150388</v>
      </c>
      <c r="F26" s="27">
        <f>Data_File!J26</f>
        <v>98.67172320941333</v>
      </c>
      <c r="G26" s="31" t="s">
        <v>63</v>
      </c>
      <c r="H26" s="27">
        <f>Data_File!L26</f>
        <v>97.88488797810051</v>
      </c>
      <c r="I26" s="6"/>
      <c r="J26" s="23"/>
      <c r="K26" s="23"/>
      <c r="N26" s="94">
        <f t="shared" si="0"/>
        <v>0</v>
      </c>
      <c r="O26" s="94">
        <f t="shared" si="1"/>
        <v>0</v>
      </c>
      <c r="P26" s="94">
        <f t="shared" si="2"/>
        <v>0</v>
      </c>
    </row>
    <row r="27" spans="1:16" ht="12.75">
      <c r="A27" s="12">
        <v>4</v>
      </c>
      <c r="B27" t="str">
        <f>Data_File!D27</f>
        <v>1/4"</v>
      </c>
      <c r="C27">
        <f>Data_File!E27</f>
        <v>6350</v>
      </c>
      <c r="E27" s="27">
        <f>Data_File!H27</f>
        <v>94.49221918281748</v>
      </c>
      <c r="F27" s="27">
        <f>Data_File!J27</f>
        <v>97.40249226705004</v>
      </c>
      <c r="G27" s="31" t="s">
        <v>63</v>
      </c>
      <c r="H27" s="27">
        <f>Data_File!L27</f>
        <v>96.83339748988864</v>
      </c>
      <c r="I27" s="6"/>
      <c r="J27" s="23"/>
      <c r="K27" s="23"/>
      <c r="N27" s="94">
        <f t="shared" si="0"/>
        <v>0</v>
      </c>
      <c r="O27" s="94">
        <f t="shared" si="1"/>
        <v>0</v>
      </c>
      <c r="P27" s="94">
        <f t="shared" si="2"/>
        <v>0</v>
      </c>
    </row>
    <row r="28" spans="1:16" ht="12.75">
      <c r="A28" s="12">
        <v>5</v>
      </c>
      <c r="B28">
        <f>Data_File!D28</f>
        <v>4</v>
      </c>
      <c r="C28">
        <f>Data_File!E28</f>
        <v>4750</v>
      </c>
      <c r="E28" s="27">
        <f>Data_File!H28</f>
        <v>92.22272973812872</v>
      </c>
      <c r="F28" s="27">
        <f>Data_File!J28</f>
        <v>95.9265096322928</v>
      </c>
      <c r="G28" s="31" t="s">
        <v>63</v>
      </c>
      <c r="H28" s="27">
        <f>Data_File!L28</f>
        <v>95.9890198799469</v>
      </c>
      <c r="I28" s="6"/>
      <c r="J28" s="23"/>
      <c r="K28" s="23"/>
      <c r="N28" s="94">
        <f t="shared" si="0"/>
        <v>0</v>
      </c>
      <c r="O28" s="94">
        <f t="shared" si="1"/>
        <v>0</v>
      </c>
      <c r="P28" s="94">
        <f t="shared" si="2"/>
        <v>0</v>
      </c>
    </row>
    <row r="29" spans="1:16" ht="12.75">
      <c r="A29" s="12">
        <v>6</v>
      </c>
      <c r="B29">
        <f>Data_File!D29</f>
        <v>6</v>
      </c>
      <c r="C29">
        <f>Data_File!E29</f>
        <v>3350</v>
      </c>
      <c r="E29" s="27">
        <f>Data_File!H29</f>
        <v>89.21671465395755</v>
      </c>
      <c r="F29" s="27">
        <f>Data_File!J29</f>
        <v>94.2247581697786</v>
      </c>
      <c r="G29" s="31" t="s">
        <v>63</v>
      </c>
      <c r="H29" s="27">
        <f>Data_File!L29</f>
        <v>94.83442723851367</v>
      </c>
      <c r="I29" s="6"/>
      <c r="J29" s="23"/>
      <c r="K29" s="23"/>
      <c r="N29" s="94">
        <f t="shared" si="0"/>
        <v>0</v>
      </c>
      <c r="O29" s="94">
        <f t="shared" si="1"/>
        <v>0</v>
      </c>
      <c r="P29" s="94">
        <f t="shared" si="2"/>
        <v>0</v>
      </c>
    </row>
    <row r="30" spans="1:16" ht="12.75">
      <c r="A30" s="12">
        <v>7</v>
      </c>
      <c r="B30">
        <f>Data_File!D30</f>
        <v>8</v>
      </c>
      <c r="C30">
        <f>Data_File!E30</f>
        <v>2360</v>
      </c>
      <c r="E30" s="27">
        <f>Data_File!H30</f>
        <v>85.79148081959593</v>
      </c>
      <c r="F30" s="27">
        <f>Data_File!J30</f>
        <v>92.23037025981343</v>
      </c>
      <c r="G30" s="31" t="s">
        <v>63</v>
      </c>
      <c r="H30" s="27">
        <f>Data_File!L30</f>
        <v>93.15410983821695</v>
      </c>
      <c r="I30" s="6"/>
      <c r="J30" s="23"/>
      <c r="K30" s="23"/>
      <c r="N30" s="94">
        <f t="shared" si="0"/>
        <v>0</v>
      </c>
      <c r="O30" s="94">
        <f t="shared" si="1"/>
        <v>0</v>
      </c>
      <c r="P30" s="94">
        <f t="shared" si="2"/>
        <v>0</v>
      </c>
    </row>
    <row r="31" spans="1:16" ht="12.75">
      <c r="A31" s="12">
        <v>8</v>
      </c>
      <c r="B31">
        <f>Data_File!D31</f>
        <v>10</v>
      </c>
      <c r="C31">
        <f>Data_File!E31</f>
        <v>1700</v>
      </c>
      <c r="E31" s="27">
        <f>Data_File!H31</f>
        <v>82.26959926325253</v>
      </c>
      <c r="F31" s="27">
        <f>Data_File!J31</f>
        <v>90.22308727955364</v>
      </c>
      <c r="G31" s="31" t="s">
        <v>63</v>
      </c>
      <c r="H31" s="27">
        <f>Data_File!L31</f>
        <v>90.86822568971839</v>
      </c>
      <c r="I31" s="6"/>
      <c r="J31" s="23"/>
      <c r="K31" s="23"/>
      <c r="N31" s="94">
        <f t="shared" si="0"/>
        <v>1439.333495952866</v>
      </c>
      <c r="O31" s="94">
        <f t="shared" si="1"/>
        <v>0</v>
      </c>
      <c r="P31" s="94">
        <f t="shared" si="2"/>
        <v>0</v>
      </c>
    </row>
    <row r="32" spans="1:16" ht="12.75">
      <c r="A32" s="12">
        <v>9</v>
      </c>
      <c r="B32">
        <f>Data_File!D32</f>
        <v>14</v>
      </c>
      <c r="C32">
        <f>Data_File!E32</f>
        <v>1180</v>
      </c>
      <c r="E32" s="27">
        <f>Data_File!H32</f>
        <v>77.37291523000093</v>
      </c>
      <c r="F32" s="27">
        <f>Data_File!J32</f>
        <v>87.26702531242921</v>
      </c>
      <c r="G32" s="31" t="s">
        <v>63</v>
      </c>
      <c r="H32" s="27">
        <f>Data_File!L32</f>
        <v>87.30238722056899</v>
      </c>
      <c r="I32" s="6"/>
      <c r="J32" s="23"/>
      <c r="K32" s="23"/>
      <c r="N32" s="94">
        <f t="shared" si="0"/>
        <v>0</v>
      </c>
      <c r="O32" s="94">
        <f t="shared" si="1"/>
        <v>0</v>
      </c>
      <c r="P32" s="94">
        <f t="shared" si="2"/>
        <v>0</v>
      </c>
    </row>
    <row r="33" spans="1:16" ht="12.75">
      <c r="A33" s="12">
        <v>10</v>
      </c>
      <c r="B33">
        <f>Data_File!D33</f>
        <v>20</v>
      </c>
      <c r="C33">
        <f>Data_File!E33</f>
        <v>850</v>
      </c>
      <c r="E33" s="27">
        <f>Data_File!H33</f>
        <v>71.15464730703819</v>
      </c>
      <c r="F33" s="27">
        <f>Data_File!J33</f>
        <v>82.81452772818396</v>
      </c>
      <c r="G33" s="31" t="s">
        <v>63</v>
      </c>
      <c r="H33" s="27">
        <f>Data_File!L33</f>
        <v>82.35662536401357</v>
      </c>
      <c r="I33" s="6"/>
      <c r="J33" s="23"/>
      <c r="K33" s="23"/>
      <c r="N33" s="94">
        <f t="shared" si="0"/>
        <v>0</v>
      </c>
      <c r="O33" s="94">
        <f t="shared" si="1"/>
        <v>736.5256274446053</v>
      </c>
      <c r="P33" s="94">
        <f t="shared" si="2"/>
        <v>762.4388070254687</v>
      </c>
    </row>
    <row r="34" spans="1:16" ht="12.75">
      <c r="A34" s="12">
        <v>11</v>
      </c>
      <c r="B34">
        <f>Data_File!D34</f>
        <v>28</v>
      </c>
      <c r="C34">
        <f>Data_File!E34</f>
        <v>600</v>
      </c>
      <c r="E34" s="27">
        <f>Data_File!H34</f>
        <v>62.55741292822534</v>
      </c>
      <c r="F34" s="27">
        <f>Data_File!J34</f>
        <v>76.13865222260746</v>
      </c>
      <c r="G34" s="31" t="s">
        <v>63</v>
      </c>
      <c r="H34" s="27">
        <f>Data_File!L34</f>
        <v>75.04163185528678</v>
      </c>
      <c r="I34" s="6"/>
      <c r="J34" s="23"/>
      <c r="K34" s="23"/>
      <c r="N34" s="94">
        <f t="shared" si="0"/>
        <v>0</v>
      </c>
      <c r="O34" s="94">
        <f t="shared" si="1"/>
        <v>0</v>
      </c>
      <c r="P34" s="94">
        <f t="shared" si="2"/>
        <v>0</v>
      </c>
    </row>
    <row r="35" spans="1:16" ht="12.75">
      <c r="A35" s="12">
        <v>12</v>
      </c>
      <c r="B35">
        <f>Data_File!D35</f>
        <v>35</v>
      </c>
      <c r="C35">
        <f>Data_File!E35</f>
        <v>425</v>
      </c>
      <c r="E35" s="27">
        <f>Data_File!H35</f>
        <v>49.55256856384086</v>
      </c>
      <c r="F35" s="27">
        <f>Data_File!J35</f>
        <v>64.56762283018801</v>
      </c>
      <c r="G35" s="31" t="s">
        <v>63</v>
      </c>
      <c r="H35" s="27">
        <f>Data_File!L35</f>
        <v>63.783574836362476</v>
      </c>
      <c r="I35" s="6"/>
      <c r="J35" s="23"/>
      <c r="K35" s="23"/>
      <c r="N35" s="94">
        <f t="shared" si="0"/>
        <v>0</v>
      </c>
      <c r="O35" s="94">
        <f t="shared" si="1"/>
        <v>0</v>
      </c>
      <c r="P35" s="94">
        <f t="shared" si="2"/>
        <v>0</v>
      </c>
    </row>
    <row r="36" spans="1:16" ht="12.75">
      <c r="A36" s="12">
        <v>13</v>
      </c>
      <c r="B36">
        <f>Data_File!D36</f>
        <v>48</v>
      </c>
      <c r="C36">
        <f>Data_File!E36</f>
        <v>300</v>
      </c>
      <c r="E36" s="27">
        <f>Data_File!H36</f>
        <v>35.54385167607507</v>
      </c>
      <c r="F36" s="27">
        <f>Data_File!J36</f>
        <v>50.48343246472278</v>
      </c>
      <c r="G36" s="31" t="s">
        <v>63</v>
      </c>
      <c r="H36" s="27">
        <f>Data_File!L36</f>
        <v>50.23281795325002</v>
      </c>
      <c r="I36" s="6"/>
      <c r="J36" s="23"/>
      <c r="K36" s="23"/>
      <c r="N36" s="94">
        <f t="shared" si="0"/>
        <v>0</v>
      </c>
      <c r="O36" s="94">
        <f t="shared" si="1"/>
        <v>0</v>
      </c>
      <c r="P36" s="94">
        <f t="shared" si="2"/>
        <v>0</v>
      </c>
    </row>
    <row r="37" spans="1:16" ht="12.75">
      <c r="A37" s="12">
        <v>14</v>
      </c>
      <c r="B37">
        <f>Data_File!D37</f>
        <v>65</v>
      </c>
      <c r="C37">
        <f>Data_File!E37</f>
        <v>212</v>
      </c>
      <c r="E37" s="27">
        <f>Data_File!H37</f>
        <v>22.988238827028596</v>
      </c>
      <c r="F37" s="27">
        <f>Data_File!J37</f>
        <v>36.41155850886355</v>
      </c>
      <c r="G37" s="31" t="s">
        <v>63</v>
      </c>
      <c r="H37" s="27">
        <f>Data_File!L37</f>
        <v>36.8345187454931</v>
      </c>
      <c r="I37" s="6"/>
      <c r="J37" s="23"/>
      <c r="K37" s="23"/>
      <c r="N37" s="94">
        <f t="shared" si="0"/>
        <v>0</v>
      </c>
      <c r="O37" s="94">
        <f t="shared" si="1"/>
        <v>0</v>
      </c>
      <c r="P37" s="94">
        <f t="shared" si="2"/>
        <v>0</v>
      </c>
    </row>
    <row r="38" spans="1:16" ht="12.75">
      <c r="A38" s="12">
        <v>15</v>
      </c>
      <c r="B38">
        <f>Data_File!D38</f>
        <v>100</v>
      </c>
      <c r="C38">
        <f>Data_File!E38</f>
        <v>150</v>
      </c>
      <c r="E38" s="27">
        <f>Data_File!H38</f>
        <v>15.058769498208942</v>
      </c>
      <c r="F38" s="27">
        <f>Data_File!J38</f>
        <v>26.944894283967052</v>
      </c>
      <c r="G38" s="31" t="s">
        <v>63</v>
      </c>
      <c r="H38" s="27">
        <f>Data_File!L38</f>
        <v>26.971150045144714</v>
      </c>
      <c r="I38" s="6"/>
      <c r="J38" s="23"/>
      <c r="K38" s="23"/>
      <c r="N38" s="94">
        <f t="shared" si="0"/>
        <v>0</v>
      </c>
      <c r="O38" s="94">
        <f t="shared" si="1"/>
        <v>0</v>
      </c>
      <c r="P38" s="94">
        <f t="shared" si="2"/>
        <v>0</v>
      </c>
    </row>
    <row r="39" spans="1:16" ht="12.75">
      <c r="A39" s="12">
        <v>16</v>
      </c>
      <c r="B39">
        <f>Data_File!D39</f>
        <v>150</v>
      </c>
      <c r="C39">
        <f>Data_File!E39</f>
        <v>106</v>
      </c>
      <c r="E39" s="27">
        <f>Data_File!H39</f>
        <v>9.655578135505511</v>
      </c>
      <c r="F39" s="27">
        <f>Data_File!J39</f>
        <v>19.602042881216516</v>
      </c>
      <c r="G39" s="31" t="s">
        <v>63</v>
      </c>
      <c r="H39" s="27">
        <f>Data_File!L39</f>
        <v>19.710141059830228</v>
      </c>
      <c r="I39" s="6"/>
      <c r="J39" s="23"/>
      <c r="K39" s="23"/>
      <c r="N39" s="94">
        <f t="shared" si="0"/>
        <v>0</v>
      </c>
      <c r="O39" s="94">
        <f t="shared" si="1"/>
        <v>0</v>
      </c>
      <c r="P39" s="94">
        <f t="shared" si="2"/>
        <v>0</v>
      </c>
    </row>
    <row r="40" spans="1:16" ht="12.75">
      <c r="A40" s="12">
        <v>17</v>
      </c>
      <c r="B40">
        <f>Data_File!D40</f>
        <v>200</v>
      </c>
      <c r="C40">
        <f>Data_File!E40</f>
        <v>75</v>
      </c>
      <c r="E40" s="27">
        <f>Data_File!H40</f>
        <v>6.283723256251334</v>
      </c>
      <c r="F40" s="27">
        <f>Data_File!J40</f>
        <v>14.764027005146215</v>
      </c>
      <c r="G40" s="31" t="s">
        <v>63</v>
      </c>
      <c r="H40" s="27">
        <f>Data_File!L40</f>
        <v>14.709580873969628</v>
      </c>
      <c r="I40" s="6"/>
      <c r="J40" s="23"/>
      <c r="K40" s="23"/>
      <c r="N40" s="94">
        <f t="shared" si="0"/>
        <v>0</v>
      </c>
      <c r="O40" s="94">
        <f t="shared" si="1"/>
        <v>0</v>
      </c>
      <c r="P40" s="94">
        <f t="shared" si="2"/>
        <v>0</v>
      </c>
    </row>
    <row r="41" spans="1:16" ht="12.75">
      <c r="A41" s="12">
        <v>18</v>
      </c>
      <c r="B41">
        <f>Data_File!D41</f>
        <v>270</v>
      </c>
      <c r="C41">
        <f>Data_File!E41</f>
        <v>53</v>
      </c>
      <c r="E41" s="27">
        <f>Data_File!H41</f>
        <v>4.123560549152068</v>
      </c>
      <c r="F41" s="27">
        <f>Data_File!J41</f>
        <v>11.154242791601074</v>
      </c>
      <c r="G41" s="31" t="s">
        <v>63</v>
      </c>
      <c r="H41" s="27">
        <f>Data_File!L41</f>
        <v>11.19214024448694</v>
      </c>
      <c r="I41" s="6"/>
      <c r="J41" s="23"/>
      <c r="K41" s="23"/>
      <c r="N41" s="94">
        <f t="shared" si="0"/>
        <v>0</v>
      </c>
      <c r="O41" s="94">
        <f t="shared" si="1"/>
        <v>0</v>
      </c>
      <c r="P41" s="94">
        <f t="shared" si="2"/>
        <v>0</v>
      </c>
    </row>
    <row r="42" spans="1:16" ht="12.75">
      <c r="A42" s="12">
        <v>19</v>
      </c>
      <c r="B42">
        <f>Data_File!D42</f>
        <v>325</v>
      </c>
      <c r="C42">
        <f>Data_File!E42</f>
        <v>44</v>
      </c>
      <c r="E42" s="27">
        <f>Data_File!H42</f>
        <v>3.4343809925028257</v>
      </c>
      <c r="F42" s="27">
        <f>Data_File!J42</f>
        <v>9.909562816948414</v>
      </c>
      <c r="G42" s="31" t="s">
        <v>63</v>
      </c>
      <c r="H42" s="27">
        <f>Data_File!L42</f>
        <v>9.846506773310477</v>
      </c>
      <c r="I42" s="6"/>
      <c r="J42" s="23"/>
      <c r="K42" s="23"/>
      <c r="N42" s="94">
        <f t="shared" si="0"/>
        <v>0</v>
      </c>
      <c r="O42" s="94">
        <f t="shared" si="1"/>
        <v>0</v>
      </c>
      <c r="P42" s="94">
        <f t="shared" si="2"/>
        <v>0</v>
      </c>
    </row>
    <row r="43" spans="1:16" ht="12.75">
      <c r="A43" s="12">
        <v>20</v>
      </c>
      <c r="B43">
        <f>Data_File!D43</f>
        <v>400</v>
      </c>
      <c r="C43">
        <f>Data_File!E43</f>
        <v>37</v>
      </c>
      <c r="E43" s="27">
        <f>Data_File!H43</f>
        <v>2.9738531115231286</v>
      </c>
      <c r="F43" s="27">
        <f>Data_File!J43</f>
        <v>8.81121461679012</v>
      </c>
      <c r="G43" s="31" t="s">
        <v>63</v>
      </c>
      <c r="H43" s="27">
        <f>Data_File!L43</f>
        <v>8.843054351395782</v>
      </c>
      <c r="I43" s="6"/>
      <c r="J43" s="23"/>
      <c r="K43" s="23"/>
      <c r="N43" s="94">
        <f t="shared" si="0"/>
        <v>0</v>
      </c>
      <c r="O43" s="94">
        <f t="shared" si="1"/>
        <v>0</v>
      </c>
      <c r="P43" s="94">
        <f t="shared" si="2"/>
        <v>0</v>
      </c>
    </row>
    <row r="44" spans="2:16" ht="12.75">
      <c r="B44" s="8"/>
      <c r="C44" s="8"/>
      <c r="D44" s="8"/>
      <c r="E44" s="28"/>
      <c r="F44" s="28"/>
      <c r="G44" s="28"/>
      <c r="H44" s="28"/>
      <c r="I44" s="8"/>
      <c r="J44" s="24"/>
      <c r="K44" s="24"/>
      <c r="N44" s="94"/>
      <c r="O44" s="94"/>
      <c r="P44" s="94"/>
    </row>
    <row r="45" spans="2:16" ht="18" customHeight="1">
      <c r="B45" s="10" t="s">
        <v>40</v>
      </c>
      <c r="C45" s="10"/>
      <c r="D45" s="32"/>
      <c r="E45" s="29">
        <f>N45</f>
        <v>1439.333495952866</v>
      </c>
      <c r="F45" s="29">
        <f>O45</f>
        <v>736.5256274446053</v>
      </c>
      <c r="G45" s="30" t="s">
        <v>63</v>
      </c>
      <c r="H45" s="29">
        <f>P45</f>
        <v>762.4388070254687</v>
      </c>
      <c r="I45" s="11"/>
      <c r="J45" s="25"/>
      <c r="K45" s="26"/>
      <c r="N45" s="94">
        <f>SUM(N24:N43)</f>
        <v>1439.333495952866</v>
      </c>
      <c r="O45" s="94">
        <f>SUM(O24:O43)</f>
        <v>736.5256274446053</v>
      </c>
      <c r="P45" s="94">
        <f>SUM(P24:P43)</f>
        <v>762.4388070254687</v>
      </c>
    </row>
    <row r="46" spans="2:16" ht="12.75">
      <c r="B46" s="13"/>
      <c r="C46" s="13"/>
      <c r="D46" s="13"/>
      <c r="E46" s="13"/>
      <c r="F46" s="13"/>
      <c r="G46" s="13"/>
      <c r="H46" s="13"/>
      <c r="I46" s="13"/>
      <c r="J46" s="13"/>
      <c r="K46" s="13"/>
      <c r="N46" s="94"/>
      <c r="O46" s="94"/>
      <c r="P46" s="94"/>
    </row>
    <row r="47" spans="2:11" ht="18" customHeight="1">
      <c r="B47" s="218" t="s">
        <v>64</v>
      </c>
      <c r="C47" s="219"/>
      <c r="D47" s="219"/>
      <c r="E47" s="219"/>
      <c r="F47" s="219"/>
      <c r="G47" s="219"/>
      <c r="H47" s="219"/>
      <c r="I47" s="219"/>
      <c r="J47" s="219"/>
      <c r="K47" s="220"/>
    </row>
    <row r="48" spans="2:11" ht="12" customHeight="1">
      <c r="B48" s="223" t="s">
        <v>36</v>
      </c>
      <c r="C48" s="221"/>
      <c r="D48" s="221"/>
      <c r="E48" s="64"/>
      <c r="F48" s="64"/>
      <c r="G48" s="64"/>
      <c r="H48" s="64"/>
      <c r="I48" s="221" t="s">
        <v>37</v>
      </c>
      <c r="J48" s="221"/>
      <c r="K48" s="222"/>
    </row>
    <row r="49" spans="2:11" ht="12.75">
      <c r="B49" s="7" t="s">
        <v>97</v>
      </c>
      <c r="C49" s="224">
        <f>Control_Panel!E10</f>
        <v>0.0028704855102898836</v>
      </c>
      <c r="D49" s="224"/>
      <c r="E49" s="5"/>
      <c r="F49" s="5"/>
      <c r="G49" s="5"/>
      <c r="H49" s="5"/>
      <c r="I49" s="18" t="s">
        <v>103</v>
      </c>
      <c r="J49" s="5"/>
      <c r="K49" s="1">
        <f>Control_Panel!E20</f>
        <v>0.45513534597654864</v>
      </c>
    </row>
    <row r="50" spans="2:11" ht="12.75">
      <c r="B50" s="7" t="s">
        <v>98</v>
      </c>
      <c r="C50" s="217">
        <f>Control_Panel!E15</f>
        <v>0</v>
      </c>
      <c r="D50" s="217"/>
      <c r="E50" s="5"/>
      <c r="F50" s="5"/>
      <c r="G50" s="5"/>
      <c r="H50" s="5"/>
      <c r="I50" s="18" t="s">
        <v>104</v>
      </c>
      <c r="J50" s="5"/>
      <c r="K50" s="2">
        <f>Control_Panel!E24</f>
        <v>0</v>
      </c>
    </row>
    <row r="51" spans="2:11" ht="12.75">
      <c r="B51" s="7" t="s">
        <v>99</v>
      </c>
      <c r="C51" s="225">
        <f>Control_Panel!E11</f>
        <v>0.8</v>
      </c>
      <c r="D51" s="225"/>
      <c r="E51" s="5"/>
      <c r="F51" s="5"/>
      <c r="G51" s="5"/>
      <c r="H51" s="5"/>
      <c r="I51" s="18" t="s">
        <v>105</v>
      </c>
      <c r="J51" s="5"/>
      <c r="K51" s="2">
        <f>Control_Panel!E21</f>
        <v>0.48673652396097705</v>
      </c>
    </row>
    <row r="52" spans="2:11" ht="12.75">
      <c r="B52" s="7" t="s">
        <v>100</v>
      </c>
      <c r="C52" s="225">
        <f>Control_Panel!E16</f>
        <v>1</v>
      </c>
      <c r="D52" s="225"/>
      <c r="E52" s="5"/>
      <c r="F52" s="5"/>
      <c r="G52" s="5"/>
      <c r="H52" s="5"/>
      <c r="I52" s="18" t="s">
        <v>106</v>
      </c>
      <c r="J52" s="5"/>
      <c r="K52" s="2">
        <f>Control_Panel!E22</f>
        <v>4</v>
      </c>
    </row>
    <row r="53" spans="2:11" ht="12.75">
      <c r="B53" s="7" t="s">
        <v>101</v>
      </c>
      <c r="C53" s="225">
        <f>Control_Panel!E12</f>
        <v>3.5</v>
      </c>
      <c r="D53" s="225"/>
      <c r="E53" s="2"/>
      <c r="F53" s="2"/>
      <c r="G53" s="2"/>
      <c r="H53" s="2"/>
      <c r="I53" s="19"/>
      <c r="J53" s="2"/>
      <c r="K53" s="2"/>
    </row>
    <row r="54" spans="2:11" ht="12.75">
      <c r="B54" s="17" t="s">
        <v>102</v>
      </c>
      <c r="C54" s="216">
        <f>Control_Panel!E13</f>
        <v>6098.2545106934085</v>
      </c>
      <c r="D54" s="216"/>
      <c r="E54" s="9"/>
      <c r="F54" s="9"/>
      <c r="G54" s="9"/>
      <c r="H54" s="9"/>
      <c r="I54" s="21" t="s">
        <v>107</v>
      </c>
      <c r="J54" s="20"/>
      <c r="K54" s="22">
        <f>Control_Panel!E27</f>
        <v>0.7177917713724178</v>
      </c>
    </row>
  </sheetData>
  <mergeCells count="16">
    <mergeCell ref="C54:D54"/>
    <mergeCell ref="C50:D50"/>
    <mergeCell ref="B47:K47"/>
    <mergeCell ref="I48:K48"/>
    <mergeCell ref="B48:D48"/>
    <mergeCell ref="C49:D49"/>
    <mergeCell ref="C51:D51"/>
    <mergeCell ref="C52:D52"/>
    <mergeCell ref="C53:D53"/>
    <mergeCell ref="E1:H1"/>
    <mergeCell ref="F21:H21"/>
    <mergeCell ref="D19:I19"/>
    <mergeCell ref="B2:K2"/>
    <mergeCell ref="B3:K3"/>
    <mergeCell ref="B8:K8"/>
    <mergeCell ref="B9:K9"/>
  </mergeCells>
  <printOptions horizontalCentered="1"/>
  <pageMargins left="0.25" right="0.25" top="0.5" bottom="0.5" header="0" footer="0.5"/>
  <pageSetup horizontalDpi="300" verticalDpi="300" orientation="portrait" r:id="rId2"/>
  <headerFooter alignWithMargins="0">
    <oddFooter>&amp;L&amp;"Arial,Bold"&amp;8Moly-Cop Tools&amp;"Arial,Regular" / &amp;F&amp;R&amp;8&amp;D / &amp;T</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BF311"/>
  <sheetViews>
    <sheetView zoomScale="75" zoomScaleNormal="75" workbookViewId="0" topLeftCell="A1">
      <selection activeCell="K18" sqref="K18"/>
    </sheetView>
  </sheetViews>
  <sheetFormatPr defaultColWidth="11.421875" defaultRowHeight="12.75"/>
  <cols>
    <col min="1" max="1" width="9.28125" style="94" bestFit="1" customWidth="1"/>
    <col min="2" max="2" width="11.57421875" style="94" bestFit="1" customWidth="1"/>
    <col min="3" max="4" width="13.28125" style="94" bestFit="1" customWidth="1"/>
    <col min="5" max="5" width="12.7109375" style="94" bestFit="1" customWidth="1"/>
    <col min="6" max="20" width="13.28125" style="94" bestFit="1" customWidth="1"/>
    <col min="21" max="26" width="9.28125" style="94" bestFit="1" customWidth="1"/>
    <col min="27" max="27" width="13.28125" style="94" bestFit="1" customWidth="1"/>
    <col min="28" max="30" width="9.28125" style="94" bestFit="1" customWidth="1"/>
    <col min="31" max="31" width="9.140625" style="94" customWidth="1"/>
    <col min="32" max="54" width="9.28125" style="94" bestFit="1" customWidth="1"/>
    <col min="55" max="57" width="9.140625" style="94" customWidth="1"/>
    <col min="58" max="58" width="9.28125" style="94" bestFit="1" customWidth="1"/>
    <col min="59" max="16384" width="9.140625" style="94" customWidth="1"/>
  </cols>
  <sheetData>
    <row r="1" spans="1:7" ht="12.75">
      <c r="A1" s="94" t="s">
        <v>3</v>
      </c>
      <c r="G1" s="94" t="s">
        <v>8</v>
      </c>
    </row>
    <row r="3" spans="1:11" ht="12.75">
      <c r="A3" s="94" t="s">
        <v>54</v>
      </c>
      <c r="B3" s="94" t="s">
        <v>55</v>
      </c>
      <c r="C3" s="94" t="s">
        <v>56</v>
      </c>
      <c r="D3" s="94" t="s">
        <v>57</v>
      </c>
      <c r="E3" s="94" t="s">
        <v>4</v>
      </c>
      <c r="F3" s="94" t="s">
        <v>5</v>
      </c>
      <c r="H3" s="94" t="s">
        <v>51</v>
      </c>
      <c r="I3" s="94" t="s">
        <v>52</v>
      </c>
      <c r="J3" s="94" t="s">
        <v>9</v>
      </c>
      <c r="K3" s="94" t="s">
        <v>10</v>
      </c>
    </row>
    <row r="4" spans="1:11" ht="12.75">
      <c r="A4" s="94">
        <f>Control_Panel!E10</f>
        <v>0.0028704855102898836</v>
      </c>
      <c r="B4" s="94">
        <f>Control_Panel!E15</f>
        <v>0</v>
      </c>
      <c r="C4" s="94">
        <f>Control_Panel!E11</f>
        <v>0.8</v>
      </c>
      <c r="D4" s="94">
        <f>Control_Panel!E16</f>
        <v>1</v>
      </c>
      <c r="E4" s="94">
        <f>Control_Panel!E12</f>
        <v>3.5</v>
      </c>
      <c r="F4" s="94">
        <f>Control_Panel!E13</f>
        <v>6098.2545106934085</v>
      </c>
      <c r="H4" s="94">
        <f>Control_Panel!E20</f>
        <v>0.45513534597654864</v>
      </c>
      <c r="I4" s="94">
        <f>Control_Panel!E24</f>
        <v>0</v>
      </c>
      <c r="J4" s="94">
        <f>Control_Panel!E21</f>
        <v>0.48673652396097705</v>
      </c>
      <c r="K4" s="94">
        <f>Control_Panel!E22</f>
        <v>4</v>
      </c>
    </row>
    <row r="9" spans="1:35" ht="12.75">
      <c r="A9" s="94" t="s">
        <v>2</v>
      </c>
      <c r="B9" s="94" t="s">
        <v>0</v>
      </c>
      <c r="C9" s="94" t="s">
        <v>1</v>
      </c>
      <c r="D9" s="94" t="s">
        <v>6</v>
      </c>
      <c r="E9" s="94" t="s">
        <v>7</v>
      </c>
      <c r="G9" s="94" t="s">
        <v>2</v>
      </c>
      <c r="H9" s="94" t="s">
        <v>0</v>
      </c>
      <c r="I9" s="94" t="s">
        <v>1</v>
      </c>
      <c r="J9" s="94" t="s">
        <v>53</v>
      </c>
      <c r="K9" s="94" t="s">
        <v>33</v>
      </c>
      <c r="AF9" s="94" t="s">
        <v>2</v>
      </c>
      <c r="AG9" s="94" t="s">
        <v>0</v>
      </c>
      <c r="AH9" s="94" t="s">
        <v>1</v>
      </c>
      <c r="AI9" s="94" t="s">
        <v>35</v>
      </c>
    </row>
    <row r="11" spans="1:58" ht="12.75">
      <c r="A11" s="94">
        <f>Data_File!C24</f>
        <v>1</v>
      </c>
      <c r="B11" s="94" t="str">
        <f>Data_File!D24</f>
        <v>3/4"</v>
      </c>
      <c r="C11" s="94">
        <f>Data_File!E24</f>
        <v>19050</v>
      </c>
      <c r="D11" s="94">
        <f aca="true" t="shared" si="0" ref="D11:D29">(C11*C12)^0.5</f>
        <v>15554.259866673181</v>
      </c>
      <c r="E11" s="94">
        <f>(1/(1+$B$4/$A$4))*($A$4*D11^$C$4/(1+(D11/$F$4)^$E$4)+$B$4*D11^$D$4)</f>
        <v>0.23555643522238645</v>
      </c>
      <c r="G11" s="94">
        <f>Data_File!C24</f>
        <v>1</v>
      </c>
      <c r="H11" s="94" t="str">
        <f>Data_File!D24</f>
        <v>3/4"</v>
      </c>
      <c r="I11" s="94">
        <f>Data_File!E24</f>
        <v>19050</v>
      </c>
      <c r="J11" s="94">
        <f aca="true" t="shared" si="1" ref="J11:J30">IF(H$4*(I11/1000)^(-I$4)&lt;1,H$4*(I11/1000)^(-I$4),1)</f>
        <v>0.45513534597654864</v>
      </c>
      <c r="K11" s="94">
        <v>1</v>
      </c>
      <c r="AF11" s="94">
        <f aca="true" t="shared" si="2" ref="AF11:AF30">G11</f>
        <v>1</v>
      </c>
      <c r="AG11" s="94" t="str">
        <f aca="true" t="shared" si="3" ref="AG11:AG30">H11</f>
        <v>3/4"</v>
      </c>
      <c r="AH11" s="94">
        <f aca="true" t="shared" si="4" ref="AH11:AH30">I11</f>
        <v>19050</v>
      </c>
      <c r="AI11" s="94">
        <f aca="true" t="shared" si="5" ref="AI11:AI30">K11-K12</f>
        <v>0</v>
      </c>
      <c r="BF11" s="94">
        <f>10*E11</f>
        <v>2.3555643522238645</v>
      </c>
    </row>
    <row r="12" spans="1:58" ht="12.75">
      <c r="A12" s="94">
        <f>Data_File!C25</f>
        <v>2</v>
      </c>
      <c r="B12" s="94" t="str">
        <f>Data_File!D25</f>
        <v>1/2"</v>
      </c>
      <c r="C12" s="94">
        <f>Data_File!E25</f>
        <v>12700</v>
      </c>
      <c r="D12" s="94">
        <f t="shared" si="0"/>
        <v>10984.079387914127</v>
      </c>
      <c r="E12" s="94">
        <f aca="true" t="shared" si="6" ref="E12:E29">(1/(1+$B$4/$A$4))*($A$4*D12^$C$4/(1+(D12/$F$4)^$E$4)+$B$4*D12^$D$4)</f>
        <v>0.5546157660375735</v>
      </c>
      <c r="G12" s="94">
        <f>Data_File!C25</f>
        <v>2</v>
      </c>
      <c r="H12" s="94" t="str">
        <f>Data_File!D25</f>
        <v>1/2"</v>
      </c>
      <c r="I12" s="94">
        <f>Data_File!E25</f>
        <v>12700</v>
      </c>
      <c r="J12" s="94">
        <f t="shared" si="1"/>
        <v>0.45513534597654864</v>
      </c>
      <c r="K12" s="94">
        <f aca="true" t="shared" si="7" ref="K12:K30">$J$12*($I12/$I$12)^$J$4+(1-$J$12)*($I12/$I$12)^$K$4</f>
        <v>1</v>
      </c>
      <c r="L12" s="94">
        <v>1</v>
      </c>
      <c r="AF12" s="94">
        <f t="shared" si="2"/>
        <v>2</v>
      </c>
      <c r="AG12" s="94" t="str">
        <f t="shared" si="3"/>
        <v>1/2"</v>
      </c>
      <c r="AH12" s="94">
        <f t="shared" si="4"/>
        <v>12700</v>
      </c>
      <c r="AI12" s="94">
        <f t="shared" si="5"/>
        <v>0.43424445438520176</v>
      </c>
      <c r="AJ12" s="94">
        <f aca="true" t="shared" si="8" ref="AJ12:AJ30">L12-L13</f>
        <v>0</v>
      </c>
      <c r="BF12" s="94">
        <f aca="true" t="shared" si="9" ref="BF12:BF29">10*E12</f>
        <v>5.5461576603757345</v>
      </c>
    </row>
    <row r="13" spans="1:58" ht="12.75">
      <c r="A13" s="94">
        <f>Data_File!C26</f>
        <v>3</v>
      </c>
      <c r="B13" s="94" t="str">
        <f>Data_File!D26</f>
        <v>3/8"</v>
      </c>
      <c r="C13" s="94">
        <f>Data_File!E26</f>
        <v>9500</v>
      </c>
      <c r="D13" s="94">
        <f t="shared" si="0"/>
        <v>7766.917020285462</v>
      </c>
      <c r="E13" s="94">
        <f t="shared" si="6"/>
        <v>1.115587467932632</v>
      </c>
      <c r="G13" s="94">
        <f>Data_File!C26</f>
        <v>3</v>
      </c>
      <c r="H13" s="94" t="str">
        <f>Data_File!D26</f>
        <v>3/8"</v>
      </c>
      <c r="I13" s="94">
        <f>Data_File!E26</f>
        <v>9500</v>
      </c>
      <c r="J13" s="94">
        <f t="shared" si="1"/>
        <v>0.45513534597654864</v>
      </c>
      <c r="K13" s="94">
        <f t="shared" si="7"/>
        <v>0.5657555456147982</v>
      </c>
      <c r="L13" s="94">
        <f aca="true" t="shared" si="10" ref="L13:L30">$J$13*($I13/$I$13)^$J$4+(1-$J$13)*($I13/$I$13)^$K$4</f>
        <v>1</v>
      </c>
      <c r="M13" s="94">
        <v>1</v>
      </c>
      <c r="AF13" s="94">
        <f t="shared" si="2"/>
        <v>3</v>
      </c>
      <c r="AG13" s="94" t="str">
        <f t="shared" si="3"/>
        <v>3/8"</v>
      </c>
      <c r="AH13" s="94">
        <f t="shared" si="4"/>
        <v>9500</v>
      </c>
      <c r="AI13" s="94">
        <f t="shared" si="5"/>
        <v>0.2068998219921071</v>
      </c>
      <c r="AJ13" s="94">
        <f t="shared" si="8"/>
        <v>0.5171364251598687</v>
      </c>
      <c r="AK13" s="94">
        <f aca="true" t="shared" si="11" ref="AK13:AK30">M13-M14</f>
        <v>0</v>
      </c>
      <c r="BF13" s="94">
        <f t="shared" si="9"/>
        <v>11.15587467932632</v>
      </c>
    </row>
    <row r="14" spans="1:58" ht="12.75">
      <c r="A14" s="94">
        <f>Data_File!C27</f>
        <v>4</v>
      </c>
      <c r="B14" s="94" t="str">
        <f>Data_File!D27</f>
        <v>1/4"</v>
      </c>
      <c r="C14" s="94">
        <f>Data_File!E27</f>
        <v>6350</v>
      </c>
      <c r="D14" s="94">
        <f t="shared" si="0"/>
        <v>5492.039693957064</v>
      </c>
      <c r="E14" s="94">
        <f t="shared" si="6"/>
        <v>1.6635588898631666</v>
      </c>
      <c r="G14" s="94">
        <f>Data_File!C27</f>
        <v>4</v>
      </c>
      <c r="H14" s="94" t="str">
        <f>Data_File!D27</f>
        <v>1/4"</v>
      </c>
      <c r="I14" s="94">
        <f>Data_File!E27</f>
        <v>6350</v>
      </c>
      <c r="J14" s="94">
        <f t="shared" si="1"/>
        <v>0.45513534597654864</v>
      </c>
      <c r="K14" s="94">
        <f t="shared" si="7"/>
        <v>0.35885572362269114</v>
      </c>
      <c r="L14" s="94">
        <f t="shared" si="10"/>
        <v>0.48286357484013137</v>
      </c>
      <c r="M14" s="94">
        <f aca="true" t="shared" si="12" ref="M14:M30">$J$14*($I14/$I$14)^$J$4+(1-$J$14)*($I14/$I$14)^$K$4</f>
        <v>1</v>
      </c>
      <c r="N14" s="94">
        <v>1</v>
      </c>
      <c r="AF14" s="94">
        <f t="shared" si="2"/>
        <v>4</v>
      </c>
      <c r="AG14" s="94" t="str">
        <f t="shared" si="3"/>
        <v>1/4"</v>
      </c>
      <c r="AH14" s="94">
        <f t="shared" si="4"/>
        <v>6350</v>
      </c>
      <c r="AI14" s="94">
        <f t="shared" si="5"/>
        <v>0.06619260374303193</v>
      </c>
      <c r="AJ14" s="94">
        <f t="shared" si="8"/>
        <v>0.12400785121744023</v>
      </c>
      <c r="AK14" s="94">
        <f t="shared" si="11"/>
        <v>0.43424445438520176</v>
      </c>
      <c r="AL14" s="94">
        <f aca="true" t="shared" si="13" ref="AL14:AL30">N14-N15</f>
        <v>0</v>
      </c>
      <c r="BF14" s="94">
        <f t="shared" si="9"/>
        <v>16.635588898631667</v>
      </c>
    </row>
    <row r="15" spans="1:58" ht="12.75">
      <c r="A15" s="94">
        <f>Data_File!C28</f>
        <v>5</v>
      </c>
      <c r="B15" s="94">
        <f>Data_File!D28</f>
        <v>4</v>
      </c>
      <c r="C15" s="94">
        <f>Data_File!E28</f>
        <v>4750</v>
      </c>
      <c r="D15" s="94">
        <f t="shared" si="0"/>
        <v>3989.047505357639</v>
      </c>
      <c r="E15" s="94">
        <f t="shared" si="6"/>
        <v>1.778396024033559</v>
      </c>
      <c r="G15" s="94">
        <f>Data_File!C28</f>
        <v>5</v>
      </c>
      <c r="H15" s="94">
        <f>Data_File!D28</f>
        <v>4</v>
      </c>
      <c r="I15" s="94">
        <f>Data_File!E28</f>
        <v>4750</v>
      </c>
      <c r="J15" s="94">
        <f t="shared" si="1"/>
        <v>0.45513534597654864</v>
      </c>
      <c r="K15" s="94">
        <f t="shared" si="7"/>
        <v>0.2926631198796592</v>
      </c>
      <c r="L15" s="94">
        <f t="shared" si="10"/>
        <v>0.35885572362269114</v>
      </c>
      <c r="M15" s="94">
        <f t="shared" si="12"/>
        <v>0.5657555456147982</v>
      </c>
      <c r="N15" s="94">
        <f aca="true" t="shared" si="14" ref="N15:N30">$J$15*($I15/$I$15)^$J$4+(1-$J$15)*($I15/$I$15)^$K$4</f>
        <v>1</v>
      </c>
      <c r="O15" s="94">
        <v>1</v>
      </c>
      <c r="AF15" s="94">
        <f t="shared" si="2"/>
        <v>5</v>
      </c>
      <c r="AG15" s="94">
        <f t="shared" si="3"/>
        <v>4</v>
      </c>
      <c r="AH15" s="94">
        <f t="shared" si="4"/>
        <v>4750</v>
      </c>
      <c r="AI15" s="94">
        <f t="shared" si="5"/>
        <v>0.05210168533487841</v>
      </c>
      <c r="AJ15" s="94">
        <f t="shared" si="8"/>
        <v>0.07639614428712777</v>
      </c>
      <c r="AK15" s="94">
        <f t="shared" si="11"/>
        <v>0.1901541481766264</v>
      </c>
      <c r="AL15" s="94">
        <f t="shared" si="13"/>
        <v>0.4812021493243813</v>
      </c>
      <c r="AM15" s="94">
        <f aca="true" t="shared" si="15" ref="AM15:AM30">O15-O16</f>
        <v>0</v>
      </c>
      <c r="BF15" s="94">
        <f t="shared" si="9"/>
        <v>17.78396024033559</v>
      </c>
    </row>
    <row r="16" spans="1:58" ht="12.75">
      <c r="A16" s="94">
        <f>Data_File!C29</f>
        <v>6</v>
      </c>
      <c r="B16" s="94">
        <f>Data_File!D29</f>
        <v>6</v>
      </c>
      <c r="C16" s="94">
        <f>Data_File!E29</f>
        <v>3350</v>
      </c>
      <c r="D16" s="94">
        <f t="shared" si="0"/>
        <v>2811.761014026619</v>
      </c>
      <c r="E16" s="94">
        <f t="shared" si="6"/>
        <v>1.545800022598107</v>
      </c>
      <c r="G16" s="94">
        <f>Data_File!C29</f>
        <v>6</v>
      </c>
      <c r="H16" s="94">
        <f>Data_File!D29</f>
        <v>6</v>
      </c>
      <c r="I16" s="94">
        <f>Data_File!E29</f>
        <v>3350</v>
      </c>
      <c r="J16" s="94">
        <f t="shared" si="1"/>
        <v>0.45513534597654864</v>
      </c>
      <c r="K16" s="94">
        <f t="shared" si="7"/>
        <v>0.2405614345447808</v>
      </c>
      <c r="L16" s="94">
        <f t="shared" si="10"/>
        <v>0.28245957933556337</v>
      </c>
      <c r="M16" s="94">
        <f t="shared" si="12"/>
        <v>0.37560139743817184</v>
      </c>
      <c r="N16" s="94">
        <f t="shared" si="14"/>
        <v>0.5187978506756187</v>
      </c>
      <c r="O16" s="94">
        <f aca="true" t="shared" si="16" ref="O16:O30">$J$16*($I16/$I$16)^$J$4+(1-$J$16)*($I16/$I$16)^$K$4</f>
        <v>1</v>
      </c>
      <c r="P16" s="94">
        <v>1</v>
      </c>
      <c r="AF16" s="94">
        <f t="shared" si="2"/>
        <v>6</v>
      </c>
      <c r="AG16" s="94">
        <f t="shared" si="3"/>
        <v>6</v>
      </c>
      <c r="AH16" s="94">
        <f t="shared" si="4"/>
        <v>3350</v>
      </c>
      <c r="AI16" s="94">
        <f t="shared" si="5"/>
        <v>0.03928495640212254</v>
      </c>
      <c r="AJ16" s="94">
        <f t="shared" si="8"/>
        <v>0.0493074924125024</v>
      </c>
      <c r="AK16" s="94">
        <f t="shared" si="11"/>
        <v>0.08407341382276345</v>
      </c>
      <c r="AL16" s="94">
        <f t="shared" si="13"/>
        <v>0.1617944282516759</v>
      </c>
      <c r="AM16" s="94">
        <f t="shared" si="15"/>
        <v>0.482009971646121</v>
      </c>
      <c r="AN16" s="94">
        <f aca="true" t="shared" si="17" ref="AN16:AN30">P16-P17</f>
        <v>0</v>
      </c>
      <c r="BF16" s="94">
        <f t="shared" si="9"/>
        <v>15.45800022598107</v>
      </c>
    </row>
    <row r="17" spans="1:58" ht="12.75">
      <c r="A17" s="94">
        <f>Data_File!C30</f>
        <v>7</v>
      </c>
      <c r="B17" s="94">
        <f>Data_File!D30</f>
        <v>8</v>
      </c>
      <c r="C17" s="94">
        <f>Data_File!E30</f>
        <v>2360</v>
      </c>
      <c r="D17" s="94">
        <f t="shared" si="0"/>
        <v>2002.9977533686852</v>
      </c>
      <c r="E17" s="94">
        <f t="shared" si="6"/>
        <v>1.231880371423183</v>
      </c>
      <c r="G17" s="94">
        <f>Data_File!C30</f>
        <v>7</v>
      </c>
      <c r="H17" s="94">
        <f>Data_File!D30</f>
        <v>8</v>
      </c>
      <c r="I17" s="94">
        <f>Data_File!E30</f>
        <v>2360</v>
      </c>
      <c r="J17" s="94">
        <f t="shared" si="1"/>
        <v>0.45513534597654864</v>
      </c>
      <c r="K17" s="94">
        <f t="shared" si="7"/>
        <v>0.20127647814265825</v>
      </c>
      <c r="L17" s="94">
        <f t="shared" si="10"/>
        <v>0.23315208692306097</v>
      </c>
      <c r="M17" s="94">
        <f t="shared" si="12"/>
        <v>0.2915279836154084</v>
      </c>
      <c r="N17" s="94">
        <f t="shared" si="14"/>
        <v>0.3570034224239428</v>
      </c>
      <c r="O17" s="94">
        <f t="shared" si="16"/>
        <v>0.517990028353879</v>
      </c>
      <c r="P17" s="94">
        <f aca="true" t="shared" si="18" ref="P17:P30">$J$17*($I17/$I$17)^$J$4+(1-$J$17)*($I17/$I$17)^$K$4</f>
        <v>1</v>
      </c>
      <c r="Q17" s="94">
        <v>1</v>
      </c>
      <c r="AF17" s="94">
        <f t="shared" si="2"/>
        <v>7</v>
      </c>
      <c r="AG17" s="94">
        <f t="shared" si="3"/>
        <v>8</v>
      </c>
      <c r="AH17" s="94">
        <f t="shared" si="4"/>
        <v>2360</v>
      </c>
      <c r="AI17" s="94">
        <f t="shared" si="5"/>
        <v>0.030081552823585433</v>
      </c>
      <c r="AJ17" s="94">
        <f t="shared" si="8"/>
        <v>0.03561675191198527</v>
      </c>
      <c r="AK17" s="94">
        <f t="shared" si="11"/>
        <v>0.04908362548971157</v>
      </c>
      <c r="AL17" s="94">
        <f t="shared" si="13"/>
        <v>0.07204626382731105</v>
      </c>
      <c r="AM17" s="94">
        <f t="shared" si="15"/>
        <v>0.15470463236432375</v>
      </c>
      <c r="AN17" s="94">
        <f t="shared" si="17"/>
        <v>0.465327519228975</v>
      </c>
      <c r="AO17" s="94">
        <f aca="true" t="shared" si="19" ref="AO17:AO30">Q17-Q18</f>
        <v>0</v>
      </c>
      <c r="BF17" s="94">
        <f t="shared" si="9"/>
        <v>12.31880371423183</v>
      </c>
    </row>
    <row r="18" spans="1:58" ht="12.75">
      <c r="A18" s="94">
        <f>Data_File!C31</f>
        <v>8</v>
      </c>
      <c r="B18" s="94">
        <f>Data_File!D31</f>
        <v>10</v>
      </c>
      <c r="C18" s="94">
        <f>Data_File!E31</f>
        <v>1700</v>
      </c>
      <c r="D18" s="94">
        <f t="shared" si="0"/>
        <v>1416.333294108417</v>
      </c>
      <c r="E18" s="94">
        <f t="shared" si="6"/>
        <v>0.9468333481285959</v>
      </c>
      <c r="G18" s="94">
        <f>Data_File!C31</f>
        <v>8</v>
      </c>
      <c r="H18" s="94">
        <f>Data_File!D31</f>
        <v>10</v>
      </c>
      <c r="I18" s="94">
        <f>Data_File!E31</f>
        <v>1700</v>
      </c>
      <c r="J18" s="94">
        <f t="shared" si="1"/>
        <v>0.45513534597654864</v>
      </c>
      <c r="K18" s="94">
        <f t="shared" si="7"/>
        <v>0.17119492531907282</v>
      </c>
      <c r="L18" s="94">
        <f t="shared" si="10"/>
        <v>0.1975353350110757</v>
      </c>
      <c r="M18" s="94">
        <f t="shared" si="12"/>
        <v>0.2424443581256968</v>
      </c>
      <c r="N18" s="94">
        <f t="shared" si="14"/>
        <v>0.28495715859663173</v>
      </c>
      <c r="O18" s="94">
        <f t="shared" si="16"/>
        <v>0.3632853959895552</v>
      </c>
      <c r="P18" s="94">
        <f t="shared" si="18"/>
        <v>0.534672480771025</v>
      </c>
      <c r="Q18" s="94">
        <f aca="true" t="shared" si="20" ref="Q18:Q30">$J$18*($I18/$I$18)^$J$4+(1-$J$18)*($I18/$I$18)^$K$4</f>
        <v>1</v>
      </c>
      <c r="R18" s="94">
        <v>1</v>
      </c>
      <c r="AF18" s="94">
        <f t="shared" si="2"/>
        <v>8</v>
      </c>
      <c r="AG18" s="94">
        <f t="shared" si="3"/>
        <v>10</v>
      </c>
      <c r="AH18" s="94">
        <f t="shared" si="4"/>
        <v>1700</v>
      </c>
      <c r="AI18" s="94">
        <f t="shared" si="5"/>
        <v>0.027979521118771056</v>
      </c>
      <c r="AJ18" s="94">
        <f t="shared" si="8"/>
        <v>0.03250043155927104</v>
      </c>
      <c r="AK18" s="94">
        <f t="shared" si="11"/>
        <v>0.04116787998303856</v>
      </c>
      <c r="AL18" s="94">
        <f t="shared" si="13"/>
        <v>0.05180507167357076</v>
      </c>
      <c r="AM18" s="94">
        <f t="shared" si="15"/>
        <v>0.0810118990382993</v>
      </c>
      <c r="AN18" s="94">
        <f t="shared" si="17"/>
        <v>0.1758167571483339</v>
      </c>
      <c r="AO18" s="94">
        <f t="shared" si="19"/>
        <v>0.4924893036709096</v>
      </c>
      <c r="AP18" s="94">
        <f aca="true" t="shared" si="21" ref="AP18:AP30">R18-R19</f>
        <v>0</v>
      </c>
      <c r="BF18" s="94">
        <f t="shared" si="9"/>
        <v>9.468333481285958</v>
      </c>
    </row>
    <row r="19" spans="1:58" ht="12.75">
      <c r="A19" s="94">
        <f>Data_File!C32</f>
        <v>9</v>
      </c>
      <c r="B19" s="94">
        <f>Data_File!D32</f>
        <v>14</v>
      </c>
      <c r="C19" s="94">
        <f>Data_File!E32</f>
        <v>1180</v>
      </c>
      <c r="D19" s="94">
        <f t="shared" si="0"/>
        <v>1001.4988766843426</v>
      </c>
      <c r="E19" s="94">
        <f t="shared" si="6"/>
        <v>0.720604359781995</v>
      </c>
      <c r="G19" s="94">
        <f>Data_File!C32</f>
        <v>9</v>
      </c>
      <c r="H19" s="94">
        <f>Data_File!D32</f>
        <v>14</v>
      </c>
      <c r="I19" s="94">
        <f>Data_File!E32</f>
        <v>1180</v>
      </c>
      <c r="J19" s="94">
        <f t="shared" si="1"/>
        <v>0.45513534597654864</v>
      </c>
      <c r="K19" s="94">
        <f t="shared" si="7"/>
        <v>0.14321540420030177</v>
      </c>
      <c r="L19" s="94">
        <f t="shared" si="10"/>
        <v>0.16503490345180466</v>
      </c>
      <c r="M19" s="94">
        <f t="shared" si="12"/>
        <v>0.20127647814265825</v>
      </c>
      <c r="N19" s="94">
        <f t="shared" si="14"/>
        <v>0.23315208692306097</v>
      </c>
      <c r="O19" s="94">
        <f t="shared" si="16"/>
        <v>0.2822734969512559</v>
      </c>
      <c r="P19" s="94">
        <f t="shared" si="18"/>
        <v>0.35885572362269114</v>
      </c>
      <c r="Q19" s="94">
        <f t="shared" si="20"/>
        <v>0.5075106963290904</v>
      </c>
      <c r="R19" s="94">
        <f aca="true" t="shared" si="22" ref="R19:R30">$J$19*($I19/$I$19)^$J$4+(1-$J$19)*($I19/$I$19)^$K$4</f>
        <v>1</v>
      </c>
      <c r="S19" s="94">
        <v>1</v>
      </c>
      <c r="AF19" s="94">
        <f t="shared" si="2"/>
        <v>9</v>
      </c>
      <c r="AG19" s="94">
        <f t="shared" si="3"/>
        <v>14</v>
      </c>
      <c r="AH19" s="94">
        <f t="shared" si="4"/>
        <v>1180</v>
      </c>
      <c r="AI19" s="94">
        <f t="shared" si="5"/>
        <v>0.021158178384066584</v>
      </c>
      <c r="AJ19" s="94">
        <f t="shared" si="8"/>
        <v>0.02443006676880663</v>
      </c>
      <c r="AK19" s="94">
        <f t="shared" si="11"/>
        <v>0.030081552823585433</v>
      </c>
      <c r="AL19" s="94">
        <f t="shared" si="13"/>
        <v>0.03561675191198527</v>
      </c>
      <c r="AM19" s="94">
        <f t="shared" si="15"/>
        <v>0.046547001326581766</v>
      </c>
      <c r="AN19" s="94">
        <f t="shared" si="17"/>
        <v>0.07281659753827113</v>
      </c>
      <c r="AO19" s="94">
        <f t="shared" si="19"/>
        <v>0.14865497270639927</v>
      </c>
      <c r="AP19" s="94">
        <f t="shared" si="21"/>
        <v>0.465327519228975</v>
      </c>
      <c r="AQ19" s="94">
        <f aca="true" t="shared" si="23" ref="AQ19:AQ30">S19-S20</f>
        <v>0</v>
      </c>
      <c r="BF19" s="94">
        <f t="shared" si="9"/>
        <v>7.20604359781995</v>
      </c>
    </row>
    <row r="20" spans="1:58" ht="12.75">
      <c r="A20" s="94">
        <f>Data_File!C33</f>
        <v>10</v>
      </c>
      <c r="B20" s="94">
        <f>Data_File!D33</f>
        <v>20</v>
      </c>
      <c r="C20" s="94">
        <f>Data_File!E33</f>
        <v>850</v>
      </c>
      <c r="D20" s="94">
        <f t="shared" si="0"/>
        <v>714.142842854285</v>
      </c>
      <c r="E20" s="94">
        <f t="shared" si="6"/>
        <v>0.5504841473052813</v>
      </c>
      <c r="G20" s="94">
        <f>Data_File!C33</f>
        <v>10</v>
      </c>
      <c r="H20" s="94">
        <f>Data_File!D33</f>
        <v>20</v>
      </c>
      <c r="I20" s="94">
        <f>Data_File!E33</f>
        <v>850</v>
      </c>
      <c r="J20" s="94">
        <f t="shared" si="1"/>
        <v>0.45513534597654864</v>
      </c>
      <c r="K20" s="94">
        <f t="shared" si="7"/>
        <v>0.12205722581623518</v>
      </c>
      <c r="L20" s="94">
        <f t="shared" si="10"/>
        <v>0.14060483668299803</v>
      </c>
      <c r="M20" s="94">
        <f t="shared" si="12"/>
        <v>0.17119492531907282</v>
      </c>
      <c r="N20" s="94">
        <f t="shared" si="14"/>
        <v>0.1975353350110757</v>
      </c>
      <c r="O20" s="94">
        <f t="shared" si="16"/>
        <v>0.23572649562467415</v>
      </c>
      <c r="P20" s="94">
        <f t="shared" si="18"/>
        <v>0.28603912608442</v>
      </c>
      <c r="Q20" s="94">
        <f t="shared" si="20"/>
        <v>0.35885572362269114</v>
      </c>
      <c r="R20" s="94">
        <f t="shared" si="22"/>
        <v>0.534672480771025</v>
      </c>
      <c r="S20" s="94">
        <f aca="true" t="shared" si="24" ref="S20:S30">$J$20*($I20/$I$20)^$J$4+(1-$J$20)*($I20/$I$20)^$K$4</f>
        <v>1</v>
      </c>
      <c r="T20" s="94">
        <v>1</v>
      </c>
      <c r="AF20" s="94">
        <f t="shared" si="2"/>
        <v>10</v>
      </c>
      <c r="AG20" s="94">
        <f t="shared" si="3"/>
        <v>20</v>
      </c>
      <c r="AH20" s="94">
        <f t="shared" si="4"/>
        <v>850</v>
      </c>
      <c r="AI20" s="94">
        <f t="shared" si="5"/>
        <v>0.01904031266872079</v>
      </c>
      <c r="AJ20" s="94">
        <f t="shared" si="8"/>
        <v>0.021946947487885102</v>
      </c>
      <c r="AK20" s="94">
        <f t="shared" si="11"/>
        <v>0.02680063215123088</v>
      </c>
      <c r="AL20" s="94">
        <f t="shared" si="13"/>
        <v>0.031136849699249597</v>
      </c>
      <c r="AM20" s="94">
        <f t="shared" si="15"/>
        <v>0.03810503951984853</v>
      </c>
      <c r="AN20" s="94">
        <f t="shared" si="17"/>
        <v>0.05006808465099663</v>
      </c>
      <c r="AO20" s="94">
        <f t="shared" si="19"/>
        <v>0.07624943906569742</v>
      </c>
      <c r="AP20" s="94">
        <f t="shared" si="21"/>
        <v>0.17078066243991563</v>
      </c>
      <c r="AQ20" s="94">
        <f t="shared" si="23"/>
        <v>0.4805640649904761</v>
      </c>
      <c r="AR20" s="94">
        <f aca="true" t="shared" si="25" ref="AR20:AR30">T20-T21</f>
        <v>0</v>
      </c>
      <c r="BF20" s="94">
        <f t="shared" si="9"/>
        <v>5.504841473052813</v>
      </c>
    </row>
    <row r="21" spans="1:58" ht="12.75">
      <c r="A21" s="94">
        <f>Data_File!C34</f>
        <v>11</v>
      </c>
      <c r="B21" s="94">
        <f>Data_File!D34</f>
        <v>28</v>
      </c>
      <c r="C21" s="94">
        <f>Data_File!E34</f>
        <v>600</v>
      </c>
      <c r="D21" s="94">
        <f t="shared" si="0"/>
        <v>504.9752469181039</v>
      </c>
      <c r="E21" s="94">
        <f t="shared" si="6"/>
        <v>0.4173500573255341</v>
      </c>
      <c r="G21" s="94">
        <f>Data_File!C34</f>
        <v>11</v>
      </c>
      <c r="H21" s="94">
        <f>Data_File!D34</f>
        <v>28</v>
      </c>
      <c r="I21" s="94">
        <f>Data_File!E34</f>
        <v>600</v>
      </c>
      <c r="J21" s="94">
        <f t="shared" si="1"/>
        <v>0.45513534597654864</v>
      </c>
      <c r="K21" s="94">
        <f t="shared" si="7"/>
        <v>0.10301691314751439</v>
      </c>
      <c r="L21" s="94">
        <f t="shared" si="10"/>
        <v>0.11865788919511293</v>
      </c>
      <c r="M21" s="94">
        <f t="shared" si="12"/>
        <v>0.14439429316784194</v>
      </c>
      <c r="N21" s="94">
        <f t="shared" si="14"/>
        <v>0.1663984853118261</v>
      </c>
      <c r="O21" s="94">
        <f t="shared" si="16"/>
        <v>0.19762145610482562</v>
      </c>
      <c r="P21" s="94">
        <f t="shared" si="18"/>
        <v>0.23597104143342337</v>
      </c>
      <c r="Q21" s="94">
        <f t="shared" si="20"/>
        <v>0.2826062845569937</v>
      </c>
      <c r="R21" s="94">
        <f t="shared" si="22"/>
        <v>0.3638918183311094</v>
      </c>
      <c r="S21" s="94">
        <f t="shared" si="24"/>
        <v>0.5194359350095239</v>
      </c>
      <c r="T21" s="94">
        <f aca="true" t="shared" si="26" ref="T21:T30">$J$21*($I21/$I$21)^$J$4+(1-$J$21)*($I21/$I$21)^$K$4</f>
        <v>1</v>
      </c>
      <c r="U21" s="94">
        <v>1</v>
      </c>
      <c r="AF21" s="94">
        <f t="shared" si="2"/>
        <v>11</v>
      </c>
      <c r="AG21" s="94">
        <f t="shared" si="3"/>
        <v>28</v>
      </c>
      <c r="AH21" s="94">
        <f t="shared" si="4"/>
        <v>600</v>
      </c>
      <c r="AI21" s="94">
        <f t="shared" si="5"/>
        <v>0.01591941005452384</v>
      </c>
      <c r="AJ21" s="94">
        <f t="shared" si="8"/>
        <v>0.018339732581839158</v>
      </c>
      <c r="AK21" s="94">
        <f t="shared" si="11"/>
        <v>0.02233706735160676</v>
      </c>
      <c r="AL21" s="94">
        <f t="shared" si="13"/>
        <v>0.025793648628828075</v>
      </c>
      <c r="AM21" s="94">
        <f t="shared" si="15"/>
        <v>0.03086864810902462</v>
      </c>
      <c r="AN21" s="94">
        <f t="shared" si="17"/>
        <v>0.037812977075085574</v>
      </c>
      <c r="AO21" s="94">
        <f t="shared" si="19"/>
        <v>0.04868722309383827</v>
      </c>
      <c r="AP21" s="94">
        <f t="shared" si="21"/>
        <v>0.07785269224668939</v>
      </c>
      <c r="AQ21" s="94">
        <f t="shared" si="23"/>
        <v>0.16058021138683276</v>
      </c>
      <c r="AR21" s="94">
        <f t="shared" si="25"/>
        <v>0.4780267593657097</v>
      </c>
      <c r="AS21" s="94">
        <f aca="true" t="shared" si="27" ref="AS21:AS30">U21-U22</f>
        <v>0</v>
      </c>
      <c r="BF21" s="94">
        <f t="shared" si="9"/>
        <v>4.173500573255341</v>
      </c>
    </row>
    <row r="22" spans="1:58" ht="12.75">
      <c r="A22" s="94">
        <f>Data_File!C35</f>
        <v>12</v>
      </c>
      <c r="B22" s="94">
        <f>Data_File!D35</f>
        <v>35</v>
      </c>
      <c r="C22" s="94">
        <f>Data_File!E35</f>
        <v>425</v>
      </c>
      <c r="D22" s="94">
        <f t="shared" si="0"/>
        <v>357.0714214271425</v>
      </c>
      <c r="E22" s="94">
        <f t="shared" si="6"/>
        <v>0.31632851096233866</v>
      </c>
      <c r="G22" s="94">
        <f>Data_File!C35</f>
        <v>12</v>
      </c>
      <c r="H22" s="94">
        <f>Data_File!D35</f>
        <v>35</v>
      </c>
      <c r="I22" s="94">
        <f>Data_File!E35</f>
        <v>425</v>
      </c>
      <c r="J22" s="94">
        <f t="shared" si="1"/>
        <v>0.45513534597654864</v>
      </c>
      <c r="K22" s="94">
        <f t="shared" si="7"/>
        <v>0.08709750309299055</v>
      </c>
      <c r="L22" s="94">
        <f t="shared" si="10"/>
        <v>0.10031815661327377</v>
      </c>
      <c r="M22" s="94">
        <f t="shared" si="12"/>
        <v>0.12205722581623518</v>
      </c>
      <c r="N22" s="94">
        <f t="shared" si="14"/>
        <v>0.14060483668299803</v>
      </c>
      <c r="O22" s="94">
        <f t="shared" si="16"/>
        <v>0.166752807995801</v>
      </c>
      <c r="P22" s="94">
        <f t="shared" si="18"/>
        <v>0.1981580643583378</v>
      </c>
      <c r="Q22" s="94">
        <f t="shared" si="20"/>
        <v>0.23391906146315544</v>
      </c>
      <c r="R22" s="94">
        <f t="shared" si="22"/>
        <v>0.28603912608442</v>
      </c>
      <c r="S22" s="94">
        <f t="shared" si="24"/>
        <v>0.35885572362269114</v>
      </c>
      <c r="T22" s="94">
        <f t="shared" si="26"/>
        <v>0.5219732406342903</v>
      </c>
      <c r="U22" s="94">
        <f aca="true" t="shared" si="28" ref="U22:U30">$J$22*($I22/$I$22)^$J$4+(1-$J$22)*($I22/$I$22)^$K$4</f>
        <v>1</v>
      </c>
      <c r="V22" s="94">
        <v>1</v>
      </c>
      <c r="AF22" s="94">
        <f t="shared" si="2"/>
        <v>12</v>
      </c>
      <c r="AG22" s="94">
        <f t="shared" si="3"/>
        <v>35</v>
      </c>
      <c r="AH22" s="94">
        <f t="shared" si="4"/>
        <v>425</v>
      </c>
      <c r="AI22" s="94">
        <f t="shared" si="5"/>
        <v>0.013582530897678649</v>
      </c>
      <c r="AJ22" s="94">
        <f t="shared" si="8"/>
        <v>0.01564507390092587</v>
      </c>
      <c r="AK22" s="94">
        <f t="shared" si="11"/>
        <v>0.01904031266872079</v>
      </c>
      <c r="AL22" s="94">
        <f t="shared" si="13"/>
        <v>0.021946947487885102</v>
      </c>
      <c r="AM22" s="94">
        <f t="shared" si="15"/>
        <v>0.026087791360006357</v>
      </c>
      <c r="AN22" s="94">
        <f t="shared" si="17"/>
        <v>0.031242503032977514</v>
      </c>
      <c r="AO22" s="94">
        <f t="shared" si="19"/>
        <v>0.03774576867013463</v>
      </c>
      <c r="AP22" s="94">
        <f t="shared" si="21"/>
        <v>0.05006808465099663</v>
      </c>
      <c r="AQ22" s="94">
        <f t="shared" si="23"/>
        <v>0.07624943906569742</v>
      </c>
      <c r="AR22" s="94">
        <f t="shared" si="25"/>
        <v>0.16311751701159916</v>
      </c>
      <c r="AS22" s="94">
        <f t="shared" si="27"/>
        <v>0.4805640649904761</v>
      </c>
      <c r="AT22" s="94">
        <f aca="true" t="shared" si="29" ref="AT22:AT30">V22-V23</f>
        <v>0</v>
      </c>
      <c r="BF22" s="94">
        <f t="shared" si="9"/>
        <v>3.1632851096233865</v>
      </c>
    </row>
    <row r="23" spans="1:58" ht="12.75">
      <c r="A23" s="94">
        <f>Data_File!C36</f>
        <v>13</v>
      </c>
      <c r="B23" s="94">
        <f>Data_File!D36</f>
        <v>48</v>
      </c>
      <c r="C23" s="94">
        <f>Data_File!E36</f>
        <v>300</v>
      </c>
      <c r="D23" s="94">
        <f t="shared" si="0"/>
        <v>252.19040425836982</v>
      </c>
      <c r="E23" s="94">
        <f t="shared" si="6"/>
        <v>0.239514582023863</v>
      </c>
      <c r="G23" s="94">
        <f>Data_File!C36</f>
        <v>13</v>
      </c>
      <c r="H23" s="94">
        <f>Data_File!D36</f>
        <v>48</v>
      </c>
      <c r="I23" s="94">
        <f>Data_File!E36</f>
        <v>300</v>
      </c>
      <c r="J23" s="94">
        <f t="shared" si="1"/>
        <v>0.45513534597654864</v>
      </c>
      <c r="K23" s="94">
        <f t="shared" si="7"/>
        <v>0.0735149721953119</v>
      </c>
      <c r="L23" s="94">
        <f t="shared" si="10"/>
        <v>0.0846730827123479</v>
      </c>
      <c r="M23" s="94">
        <f t="shared" si="12"/>
        <v>0.10301691314751439</v>
      </c>
      <c r="N23" s="94">
        <f t="shared" si="14"/>
        <v>0.11865788919511293</v>
      </c>
      <c r="O23" s="94">
        <f t="shared" si="16"/>
        <v>0.14066501663579464</v>
      </c>
      <c r="P23" s="94">
        <f t="shared" si="18"/>
        <v>0.16691556132536028</v>
      </c>
      <c r="Q23" s="94">
        <f t="shared" si="20"/>
        <v>0.19617329279302081</v>
      </c>
      <c r="R23" s="94">
        <f t="shared" si="22"/>
        <v>0.23597104143342337</v>
      </c>
      <c r="S23" s="94">
        <f t="shared" si="24"/>
        <v>0.2826062845569937</v>
      </c>
      <c r="T23" s="94">
        <f t="shared" si="26"/>
        <v>0.35885572362269114</v>
      </c>
      <c r="U23" s="94">
        <f t="shared" si="28"/>
        <v>0.5194359350095239</v>
      </c>
      <c r="V23" s="94">
        <f aca="true" t="shared" si="30" ref="V23:V30">$J$23*($I23/$I$23)^$J$4+(1-$J$23)*($I23/$I$23)^$K$4</f>
        <v>1</v>
      </c>
      <c r="W23" s="94">
        <v>1</v>
      </c>
      <c r="AF23" s="94">
        <f t="shared" si="2"/>
        <v>13</v>
      </c>
      <c r="AG23" s="94">
        <f t="shared" si="3"/>
        <v>48</v>
      </c>
      <c r="AH23" s="94">
        <f t="shared" si="4"/>
        <v>300</v>
      </c>
      <c r="AI23" s="94">
        <f t="shared" si="5"/>
        <v>0.011430594460229336</v>
      </c>
      <c r="AJ23" s="94">
        <f t="shared" si="8"/>
        <v>0.013165737521258325</v>
      </c>
      <c r="AK23" s="94">
        <f t="shared" si="11"/>
        <v>0.016019225480630075</v>
      </c>
      <c r="AL23" s="94">
        <f t="shared" si="13"/>
        <v>0.01845471062108671</v>
      </c>
      <c r="AM23" s="94">
        <f t="shared" si="15"/>
        <v>0.021892189676721907</v>
      </c>
      <c r="AN23" s="94">
        <f t="shared" si="17"/>
        <v>0.0260375795006704</v>
      </c>
      <c r="AO23" s="94">
        <f t="shared" si="19"/>
        <v>0.030816533727142575</v>
      </c>
      <c r="AP23" s="94">
        <f t="shared" si="21"/>
        <v>0.03804477501551551</v>
      </c>
      <c r="AQ23" s="94">
        <f t="shared" si="23"/>
        <v>0.04897280593654055</v>
      </c>
      <c r="AR23" s="94">
        <f t="shared" si="25"/>
        <v>0.07606357601005959</v>
      </c>
      <c r="AS23" s="94">
        <f t="shared" si="27"/>
        <v>0.16127179861615243</v>
      </c>
      <c r="AT23" s="94">
        <f t="shared" si="29"/>
        <v>0.4797541374339026</v>
      </c>
      <c r="AU23" s="94">
        <f aca="true" t="shared" si="31" ref="AU23:AU30">W23-W24</f>
        <v>0</v>
      </c>
      <c r="BF23" s="94">
        <f t="shared" si="9"/>
        <v>2.39514582023863</v>
      </c>
    </row>
    <row r="24" spans="1:58" ht="12.75">
      <c r="A24" s="94">
        <f>Data_File!C37</f>
        <v>14</v>
      </c>
      <c r="B24" s="94">
        <f>Data_File!D37</f>
        <v>65</v>
      </c>
      <c r="C24" s="94">
        <f>Data_File!E37</f>
        <v>212</v>
      </c>
      <c r="D24" s="94">
        <f t="shared" si="0"/>
        <v>178.3255450012701</v>
      </c>
      <c r="E24" s="94">
        <f t="shared" si="6"/>
        <v>0.18151994444628064</v>
      </c>
      <c r="G24" s="94">
        <f>Data_File!C37</f>
        <v>14</v>
      </c>
      <c r="H24" s="94">
        <f>Data_File!D37</f>
        <v>65</v>
      </c>
      <c r="I24" s="94">
        <f>Data_File!E37</f>
        <v>212</v>
      </c>
      <c r="J24" s="94">
        <f t="shared" si="1"/>
        <v>0.45513534597654864</v>
      </c>
      <c r="K24" s="94">
        <f t="shared" si="7"/>
        <v>0.06208437773508257</v>
      </c>
      <c r="L24" s="94">
        <f t="shared" si="10"/>
        <v>0.07150734519108957</v>
      </c>
      <c r="M24" s="94">
        <f t="shared" si="12"/>
        <v>0.08699768766688432</v>
      </c>
      <c r="N24" s="94">
        <f t="shared" si="14"/>
        <v>0.10020317857402622</v>
      </c>
      <c r="O24" s="94">
        <f t="shared" si="16"/>
        <v>0.11877282695907274</v>
      </c>
      <c r="P24" s="94">
        <f t="shared" si="18"/>
        <v>0.14087798182468989</v>
      </c>
      <c r="Q24" s="94">
        <f t="shared" si="20"/>
        <v>0.16535675906587824</v>
      </c>
      <c r="R24" s="94">
        <f t="shared" si="22"/>
        <v>0.19792626641790786</v>
      </c>
      <c r="S24" s="94">
        <f t="shared" si="24"/>
        <v>0.23363347862045317</v>
      </c>
      <c r="T24" s="94">
        <f t="shared" si="26"/>
        <v>0.28279214761263155</v>
      </c>
      <c r="U24" s="94">
        <f t="shared" si="28"/>
        <v>0.35816413639337147</v>
      </c>
      <c r="V24" s="94">
        <f t="shared" si="30"/>
        <v>0.5202458625660974</v>
      </c>
      <c r="W24" s="94">
        <f aca="true" t="shared" si="32" ref="W24:W30">$J$24*($I24/$I$24)^$J$4+(1-$J$24)*($I24/$I$24)^$K$4</f>
        <v>1</v>
      </c>
      <c r="X24" s="94">
        <v>1</v>
      </c>
      <c r="AF24" s="94">
        <f t="shared" si="2"/>
        <v>14</v>
      </c>
      <c r="AG24" s="94">
        <f t="shared" si="3"/>
        <v>65</v>
      </c>
      <c r="AH24" s="94">
        <f t="shared" si="4"/>
        <v>212</v>
      </c>
      <c r="AI24" s="94">
        <f t="shared" si="5"/>
        <v>0.009621442017510182</v>
      </c>
      <c r="AJ24" s="94">
        <f t="shared" si="8"/>
        <v>0.01108180494027463</v>
      </c>
      <c r="AK24" s="94">
        <f t="shared" si="11"/>
        <v>0.013482715471572412</v>
      </c>
      <c r="AL24" s="94">
        <f t="shared" si="13"/>
        <v>0.01553009586167832</v>
      </c>
      <c r="AM24" s="94">
        <f t="shared" si="15"/>
        <v>0.018411803626426193</v>
      </c>
      <c r="AN24" s="94">
        <f t="shared" si="17"/>
        <v>0.021853406058644276</v>
      </c>
      <c r="AO24" s="94">
        <f t="shared" si="19"/>
        <v>0.025704200019052548</v>
      </c>
      <c r="AP24" s="94">
        <f t="shared" si="21"/>
        <v>0.03101070509254758</v>
      </c>
      <c r="AQ24" s="94">
        <f t="shared" si="23"/>
        <v>0.03746018582743235</v>
      </c>
      <c r="AR24" s="94">
        <f t="shared" si="25"/>
        <v>0.04887308614947611</v>
      </c>
      <c r="AS24" s="94">
        <f t="shared" si="27"/>
        <v>0.07555785183637775</v>
      </c>
      <c r="AT24" s="94">
        <f t="shared" si="29"/>
        <v>0.16139013894340626</v>
      </c>
      <c r="AU24" s="94">
        <f t="shared" si="31"/>
        <v>0.478842626716351</v>
      </c>
      <c r="AV24" s="94">
        <f aca="true" t="shared" si="33" ref="AV24:AV30">X24-X25</f>
        <v>0</v>
      </c>
      <c r="BF24" s="94">
        <f t="shared" si="9"/>
        <v>1.8151994444628063</v>
      </c>
    </row>
    <row r="25" spans="1:58" ht="12.75">
      <c r="A25" s="94">
        <f>Data_File!C38</f>
        <v>15</v>
      </c>
      <c r="B25" s="94">
        <f>Data_File!D38</f>
        <v>100</v>
      </c>
      <c r="C25" s="94">
        <f>Data_File!E38</f>
        <v>150</v>
      </c>
      <c r="D25" s="94">
        <f t="shared" si="0"/>
        <v>126.09520212918491</v>
      </c>
      <c r="E25" s="94">
        <f t="shared" si="6"/>
        <v>0.1375668068158448</v>
      </c>
      <c r="G25" s="94">
        <f>Data_File!C38</f>
        <v>15</v>
      </c>
      <c r="H25" s="94">
        <f>Data_File!D38</f>
        <v>100</v>
      </c>
      <c r="I25" s="94">
        <f>Data_File!E38</f>
        <v>150</v>
      </c>
      <c r="J25" s="94">
        <f t="shared" si="1"/>
        <v>0.45513534597654864</v>
      </c>
      <c r="K25" s="94">
        <f t="shared" si="7"/>
        <v>0.052462935717572386</v>
      </c>
      <c r="L25" s="94">
        <f t="shared" si="10"/>
        <v>0.060425540250814945</v>
      </c>
      <c r="M25" s="94">
        <f t="shared" si="12"/>
        <v>0.0735149721953119</v>
      </c>
      <c r="N25" s="94">
        <f t="shared" si="14"/>
        <v>0.0846730827123479</v>
      </c>
      <c r="O25" s="94">
        <f t="shared" si="16"/>
        <v>0.10036102333264654</v>
      </c>
      <c r="P25" s="94">
        <f t="shared" si="18"/>
        <v>0.11902457576604561</v>
      </c>
      <c r="Q25" s="94">
        <f t="shared" si="20"/>
        <v>0.1396525590468257</v>
      </c>
      <c r="R25" s="94">
        <f t="shared" si="22"/>
        <v>0.16691556132536028</v>
      </c>
      <c r="S25" s="94">
        <f t="shared" si="24"/>
        <v>0.19617329279302081</v>
      </c>
      <c r="T25" s="94">
        <f t="shared" si="26"/>
        <v>0.23391906146315544</v>
      </c>
      <c r="U25" s="94">
        <f t="shared" si="28"/>
        <v>0.2826062845569937</v>
      </c>
      <c r="V25" s="94">
        <f t="shared" si="30"/>
        <v>0.35885572362269114</v>
      </c>
      <c r="W25" s="94">
        <f t="shared" si="32"/>
        <v>0.521157373283649</v>
      </c>
      <c r="X25" s="94">
        <f aca="true" t="shared" si="34" ref="X25:X30">$J$25*($I25/$I$25)^$J$4+(1-$J$25)*($I25/$I$25)^$K$4</f>
        <v>1</v>
      </c>
      <c r="Y25" s="94">
        <v>1</v>
      </c>
      <c r="AF25" s="94">
        <f t="shared" si="2"/>
        <v>15</v>
      </c>
      <c r="AG25" s="94">
        <f t="shared" si="3"/>
        <v>100</v>
      </c>
      <c r="AH25" s="94">
        <f t="shared" si="4"/>
        <v>150</v>
      </c>
      <c r="AI25" s="94">
        <f t="shared" si="5"/>
        <v>0.00815721874611746</v>
      </c>
      <c r="AJ25" s="94">
        <f t="shared" si="8"/>
        <v>0.009395300110488052</v>
      </c>
      <c r="AK25" s="94">
        <f t="shared" si="11"/>
        <v>0.011430594460229336</v>
      </c>
      <c r="AL25" s="94">
        <f t="shared" si="13"/>
        <v>0.013165737521258325</v>
      </c>
      <c r="AM25" s="94">
        <f t="shared" si="15"/>
        <v>0.015605961784087977</v>
      </c>
      <c r="AN25" s="94">
        <f t="shared" si="17"/>
        <v>0.01851185740471152</v>
      </c>
      <c r="AO25" s="94">
        <f t="shared" si="19"/>
        <v>0.021733567489527983</v>
      </c>
      <c r="AP25" s="94">
        <f t="shared" si="21"/>
        <v>0.0260375795006704</v>
      </c>
      <c r="AQ25" s="94">
        <f t="shared" si="23"/>
        <v>0.030816533727142575</v>
      </c>
      <c r="AR25" s="94">
        <f t="shared" si="25"/>
        <v>0.03763763804048789</v>
      </c>
      <c r="AS25" s="94">
        <f t="shared" si="27"/>
        <v>0.04897280593654055</v>
      </c>
      <c r="AT25" s="94">
        <f t="shared" si="29"/>
        <v>0.07606357601005959</v>
      </c>
      <c r="AU25" s="94">
        <f t="shared" si="31"/>
        <v>0.16230164966095784</v>
      </c>
      <c r="AV25" s="94">
        <f t="shared" si="33"/>
        <v>0.4797541374339026</v>
      </c>
      <c r="AW25" s="94">
        <f aca="true" t="shared" si="35" ref="AW25:AW30">Y25-Y26</f>
        <v>0</v>
      </c>
      <c r="BF25" s="94">
        <f t="shared" si="9"/>
        <v>1.3756680681584479</v>
      </c>
    </row>
    <row r="26" spans="1:58" ht="12.75">
      <c r="A26" s="94">
        <f>Data_File!C39</f>
        <v>16</v>
      </c>
      <c r="B26" s="94">
        <f>Data_File!D39</f>
        <v>150</v>
      </c>
      <c r="C26" s="94">
        <f>Data_File!E39</f>
        <v>106</v>
      </c>
      <c r="D26" s="94">
        <f t="shared" si="0"/>
        <v>89.16277250063504</v>
      </c>
      <c r="E26" s="94">
        <f t="shared" si="6"/>
        <v>0.1042562371777074</v>
      </c>
      <c r="G26" s="94">
        <f>Data_File!C39</f>
        <v>16</v>
      </c>
      <c r="H26" s="94">
        <f>Data_File!D39</f>
        <v>150</v>
      </c>
      <c r="I26" s="94">
        <f>Data_File!E39</f>
        <v>106</v>
      </c>
      <c r="J26" s="94">
        <f t="shared" si="1"/>
        <v>0.45513534597654864</v>
      </c>
      <c r="K26" s="94">
        <f t="shared" si="7"/>
        <v>0.044305716971454925</v>
      </c>
      <c r="L26" s="94">
        <f t="shared" si="10"/>
        <v>0.051030240140326893</v>
      </c>
      <c r="M26" s="94">
        <f t="shared" si="12"/>
        <v>0.06208437773508257</v>
      </c>
      <c r="N26" s="94">
        <f t="shared" si="14"/>
        <v>0.07150734519108957</v>
      </c>
      <c r="O26" s="94">
        <f t="shared" si="16"/>
        <v>0.08475506154855857</v>
      </c>
      <c r="P26" s="94">
        <f t="shared" si="18"/>
        <v>0.10051271836133409</v>
      </c>
      <c r="Q26" s="94">
        <f t="shared" si="20"/>
        <v>0.11791899155729771</v>
      </c>
      <c r="R26" s="94">
        <f t="shared" si="22"/>
        <v>0.14087798182468989</v>
      </c>
      <c r="S26" s="94">
        <f t="shared" si="24"/>
        <v>0.16535675906587824</v>
      </c>
      <c r="T26" s="94">
        <f t="shared" si="26"/>
        <v>0.19628142342266755</v>
      </c>
      <c r="U26" s="94">
        <f t="shared" si="28"/>
        <v>0.23363347862045317</v>
      </c>
      <c r="V26" s="94">
        <f t="shared" si="30"/>
        <v>0.28279214761263155</v>
      </c>
      <c r="W26" s="94">
        <f t="shared" si="32"/>
        <v>0.35885572362269114</v>
      </c>
      <c r="X26" s="94">
        <f t="shared" si="34"/>
        <v>0.5202458625660974</v>
      </c>
      <c r="Y26" s="94">
        <f>$J$26*($I26/$I$26)^$J$4+(1-$J$26)*($I26/$I$26)^$K$4</f>
        <v>1</v>
      </c>
      <c r="Z26" s="94">
        <v>1</v>
      </c>
      <c r="AF26" s="94">
        <f t="shared" si="2"/>
        <v>16</v>
      </c>
      <c r="AG26" s="94">
        <f t="shared" si="3"/>
        <v>150</v>
      </c>
      <c r="AH26" s="94">
        <f t="shared" si="4"/>
        <v>106</v>
      </c>
      <c r="AI26" s="94">
        <f t="shared" si="5"/>
        <v>0.006866201866380463</v>
      </c>
      <c r="AJ26" s="94">
        <f t="shared" si="8"/>
        <v>0.007908326424905757</v>
      </c>
      <c r="AK26" s="94">
        <f t="shared" si="11"/>
        <v>0.009621442017510182</v>
      </c>
      <c r="AL26" s="94">
        <f t="shared" si="13"/>
        <v>0.01108180494027463</v>
      </c>
      <c r="AM26" s="94">
        <f t="shared" si="15"/>
        <v>0.013135090732457791</v>
      </c>
      <c r="AN26" s="94">
        <f t="shared" si="17"/>
        <v>0.015578099228923281</v>
      </c>
      <c r="AO26" s="94">
        <f t="shared" si="19"/>
        <v>0.01827918311416224</v>
      </c>
      <c r="AP26" s="94">
        <f t="shared" si="21"/>
        <v>0.021853406058644276</v>
      </c>
      <c r="AQ26" s="94">
        <f t="shared" si="23"/>
        <v>0.025704200019052548</v>
      </c>
      <c r="AR26" s="94">
        <f t="shared" si="25"/>
        <v>0.030733859197356633</v>
      </c>
      <c r="AS26" s="94">
        <f t="shared" si="27"/>
        <v>0.03746018582743235</v>
      </c>
      <c r="AT26" s="94">
        <f t="shared" si="29"/>
        <v>0.04887308614947611</v>
      </c>
      <c r="AU26" s="94">
        <f t="shared" si="31"/>
        <v>0.07585486941441089</v>
      </c>
      <c r="AV26" s="94">
        <f t="shared" si="33"/>
        <v>0.16139013894340626</v>
      </c>
      <c r="AW26" s="94">
        <f t="shared" si="35"/>
        <v>0.478842626716351</v>
      </c>
      <c r="AX26" s="94">
        <f>Z26-Z27</f>
        <v>0</v>
      </c>
      <c r="BF26" s="94">
        <f t="shared" si="9"/>
        <v>1.042562371777074</v>
      </c>
    </row>
    <row r="27" spans="1:58" ht="12.75">
      <c r="A27" s="94">
        <f>Data_File!C40</f>
        <v>17</v>
      </c>
      <c r="B27" s="94">
        <f>Data_File!D40</f>
        <v>200</v>
      </c>
      <c r="C27" s="94">
        <f>Data_File!E40</f>
        <v>75</v>
      </c>
      <c r="D27" s="94">
        <f t="shared" si="0"/>
        <v>63.047601064592456</v>
      </c>
      <c r="E27" s="94">
        <f t="shared" si="6"/>
        <v>0.07901147390983694</v>
      </c>
      <c r="G27" s="94">
        <f>Data_File!C40</f>
        <v>17</v>
      </c>
      <c r="H27" s="94">
        <f>Data_File!D40</f>
        <v>200</v>
      </c>
      <c r="I27" s="94">
        <f>Data_File!E40</f>
        <v>75</v>
      </c>
      <c r="J27" s="94">
        <f t="shared" si="1"/>
        <v>0.45513534597654864</v>
      </c>
      <c r="K27" s="94">
        <f t="shared" si="7"/>
        <v>0.03743951510507446</v>
      </c>
      <c r="L27" s="94">
        <f t="shared" si="10"/>
        <v>0.04312191371542114</v>
      </c>
      <c r="M27" s="94">
        <f t="shared" si="12"/>
        <v>0.052462935717572386</v>
      </c>
      <c r="N27" s="94">
        <f t="shared" si="14"/>
        <v>0.060425540250814945</v>
      </c>
      <c r="O27" s="94">
        <f t="shared" si="16"/>
        <v>0.07161997081610078</v>
      </c>
      <c r="P27" s="94">
        <f t="shared" si="18"/>
        <v>0.08493461913241081</v>
      </c>
      <c r="Q27" s="94">
        <f t="shared" si="20"/>
        <v>0.09963980844313547</v>
      </c>
      <c r="R27" s="94">
        <f t="shared" si="22"/>
        <v>0.11902457576604561</v>
      </c>
      <c r="S27" s="94">
        <f t="shared" si="24"/>
        <v>0.1396525590468257</v>
      </c>
      <c r="T27" s="94">
        <f t="shared" si="26"/>
        <v>0.16554756422531092</v>
      </c>
      <c r="U27" s="94">
        <f t="shared" si="28"/>
        <v>0.19617329279302081</v>
      </c>
      <c r="V27" s="94">
        <f t="shared" si="30"/>
        <v>0.23391906146315544</v>
      </c>
      <c r="W27" s="94">
        <f t="shared" si="32"/>
        <v>0.28300085420828025</v>
      </c>
      <c r="X27" s="94">
        <f t="shared" si="34"/>
        <v>0.35885572362269114</v>
      </c>
      <c r="Y27" s="94">
        <f>$J$26*($I27/$I$26)^$J$4+(1-$J$26)*($I27/$I$26)^$K$4</f>
        <v>0.521157373283649</v>
      </c>
      <c r="Z27" s="94">
        <f>$J$27*($I27/$I$27)^$J$4+(1-$J$27)*($I27/$I$27)^$K$4</f>
        <v>1</v>
      </c>
      <c r="AA27" s="94">
        <v>1</v>
      </c>
      <c r="AF27" s="94">
        <f t="shared" si="2"/>
        <v>17</v>
      </c>
      <c r="AG27" s="94">
        <f t="shared" si="3"/>
        <v>200</v>
      </c>
      <c r="AH27" s="94">
        <f t="shared" si="4"/>
        <v>75</v>
      </c>
      <c r="AI27" s="94">
        <f t="shared" si="5"/>
        <v>0.005821292589086889</v>
      </c>
      <c r="AJ27" s="94">
        <f t="shared" si="8"/>
        <v>0.0067048225968854985</v>
      </c>
      <c r="AK27" s="94">
        <f t="shared" si="11"/>
        <v>0.00815721874611746</v>
      </c>
      <c r="AL27" s="94">
        <f t="shared" si="13"/>
        <v>0.009395300110488052</v>
      </c>
      <c r="AM27" s="94">
        <f t="shared" si="15"/>
        <v>0.011135930204649307</v>
      </c>
      <c r="AN27" s="94">
        <f t="shared" si="17"/>
        <v>0.013206410852728612</v>
      </c>
      <c r="AO27" s="94">
        <f t="shared" si="19"/>
        <v>0.01549374851183287</v>
      </c>
      <c r="AP27" s="94">
        <f t="shared" si="21"/>
        <v>0.01851185740471152</v>
      </c>
      <c r="AQ27" s="94">
        <f t="shared" si="23"/>
        <v>0.021733567489527983</v>
      </c>
      <c r="AR27" s="94">
        <f t="shared" si="25"/>
        <v>0.025819370862970176</v>
      </c>
      <c r="AS27" s="94">
        <f t="shared" si="27"/>
        <v>0.030816533727142575</v>
      </c>
      <c r="AT27" s="94">
        <f t="shared" si="29"/>
        <v>0.03763763804048789</v>
      </c>
      <c r="AU27" s="94">
        <f t="shared" si="31"/>
        <v>0.04908179274512481</v>
      </c>
      <c r="AV27" s="94">
        <f t="shared" si="33"/>
        <v>0.07606357601005959</v>
      </c>
      <c r="AW27" s="94">
        <f t="shared" si="35"/>
        <v>0.16230164966095784</v>
      </c>
      <c r="AX27" s="94">
        <f>Z27-Z28</f>
        <v>0.4797541374339026</v>
      </c>
      <c r="AY27" s="94">
        <f>AA27-AA28</f>
        <v>0</v>
      </c>
      <c r="BF27" s="94">
        <f t="shared" si="9"/>
        <v>0.7901147390983694</v>
      </c>
    </row>
    <row r="28" spans="1:58" ht="12.75">
      <c r="A28" s="94">
        <f>Data_File!C41</f>
        <v>18</v>
      </c>
      <c r="B28" s="94">
        <f>Data_File!D41</f>
        <v>270</v>
      </c>
      <c r="C28" s="94">
        <f>Data_File!E41</f>
        <v>53</v>
      </c>
      <c r="D28" s="94">
        <f t="shared" si="0"/>
        <v>48.29078587059855</v>
      </c>
      <c r="E28" s="94">
        <f t="shared" si="6"/>
        <v>0.06383322083740729</v>
      </c>
      <c r="G28" s="94">
        <f>Data_File!C41</f>
        <v>18</v>
      </c>
      <c r="H28" s="94">
        <f>Data_File!D41</f>
        <v>270</v>
      </c>
      <c r="I28" s="94">
        <f>Data_File!E41</f>
        <v>53</v>
      </c>
      <c r="J28" s="94">
        <f t="shared" si="1"/>
        <v>0.45513534597654864</v>
      </c>
      <c r="K28" s="94">
        <f t="shared" si="7"/>
        <v>0.031618222515987573</v>
      </c>
      <c r="L28" s="94">
        <f t="shared" si="10"/>
        <v>0.03641709111853564</v>
      </c>
      <c r="M28" s="94">
        <f t="shared" si="12"/>
        <v>0.044305716971454925</v>
      </c>
      <c r="N28" s="94">
        <f t="shared" si="14"/>
        <v>0.051030240140326893</v>
      </c>
      <c r="O28" s="94">
        <f t="shared" si="16"/>
        <v>0.06048404061145147</v>
      </c>
      <c r="P28" s="94">
        <f t="shared" si="18"/>
        <v>0.0717282082796822</v>
      </c>
      <c r="Q28" s="94">
        <f t="shared" si="20"/>
        <v>0.0841460599313026</v>
      </c>
      <c r="R28" s="94">
        <f t="shared" si="22"/>
        <v>0.10051271836133409</v>
      </c>
      <c r="S28" s="94">
        <f t="shared" si="24"/>
        <v>0.11791899155729771</v>
      </c>
      <c r="T28" s="94">
        <f t="shared" si="26"/>
        <v>0.13972819336234074</v>
      </c>
      <c r="U28" s="94">
        <f t="shared" si="28"/>
        <v>0.16535675906587824</v>
      </c>
      <c r="V28" s="94">
        <f t="shared" si="30"/>
        <v>0.19628142342266755</v>
      </c>
      <c r="W28" s="94">
        <f t="shared" si="32"/>
        <v>0.23391906146315544</v>
      </c>
      <c r="X28" s="94">
        <f t="shared" si="34"/>
        <v>0.28279214761263155</v>
      </c>
      <c r="Y28" s="94">
        <f>$J$26*($I28/$I$26)^$J$4+(1-$J$26)*($I28/$I$26)^$K$4</f>
        <v>0.35885572362269114</v>
      </c>
      <c r="Z28" s="94">
        <f>$J$27*($I28/$I$27)^$J$4+(1-$J$27)*($I28/$I$27)^$K$4</f>
        <v>0.5202458625660974</v>
      </c>
      <c r="AA28" s="94">
        <f>$J$28*($I28/$I$28)^$J$4+(1-$J$28)*($I28/$I$28)^$K$4</f>
        <v>1</v>
      </c>
      <c r="AB28" s="94">
        <v>1</v>
      </c>
      <c r="AF28" s="94">
        <f t="shared" si="2"/>
        <v>18</v>
      </c>
      <c r="AG28" s="94">
        <f t="shared" si="3"/>
        <v>270</v>
      </c>
      <c r="AH28" s="94">
        <f t="shared" si="4"/>
        <v>53</v>
      </c>
      <c r="AI28" s="94">
        <f t="shared" si="5"/>
        <v>0.002738178529918058</v>
      </c>
      <c r="AJ28" s="94">
        <f t="shared" si="8"/>
        <v>0.0031537668396860105</v>
      </c>
      <c r="AK28" s="94">
        <f t="shared" si="11"/>
        <v>0.0038369328428852698</v>
      </c>
      <c r="AL28" s="94">
        <f t="shared" si="13"/>
        <v>0.00441928768201226</v>
      </c>
      <c r="AM28" s="94">
        <f t="shared" si="15"/>
        <v>0.0052380101410121616</v>
      </c>
      <c r="AN28" s="94">
        <f t="shared" si="17"/>
        <v>0.006211815216478955</v>
      </c>
      <c r="AO28" s="94">
        <f t="shared" si="19"/>
        <v>0.007287381932262055</v>
      </c>
      <c r="AP28" s="94">
        <f t="shared" si="21"/>
        <v>0.00870550191732554</v>
      </c>
      <c r="AQ28" s="94">
        <f t="shared" si="23"/>
        <v>0.010215545822682623</v>
      </c>
      <c r="AR28" s="94">
        <f t="shared" si="25"/>
        <v>0.01211518261308242</v>
      </c>
      <c r="AS28" s="94">
        <f t="shared" si="27"/>
        <v>0.014377875030890774</v>
      </c>
      <c r="AT28" s="94">
        <f t="shared" si="29"/>
        <v>0.017230903362911</v>
      </c>
      <c r="AU28" s="94">
        <f t="shared" si="31"/>
        <v>0.021190735819725387</v>
      </c>
      <c r="AV28" s="94">
        <f t="shared" si="33"/>
        <v>0.028213063194364008</v>
      </c>
      <c r="AW28" s="94">
        <f t="shared" si="35"/>
        <v>0.046006104852983454</v>
      </c>
      <c r="AX28" s="94">
        <f>Z28-Z29</f>
        <v>0.1046203880131501</v>
      </c>
      <c r="AY28" s="94">
        <f>AA28-AA29</f>
        <v>0.32546113018918454</v>
      </c>
      <c r="AZ28" s="94">
        <f>AB28-AB29</f>
        <v>0</v>
      </c>
      <c r="BF28" s="94">
        <f t="shared" si="9"/>
        <v>0.6383322083740729</v>
      </c>
    </row>
    <row r="29" spans="1:58" ht="12.75">
      <c r="A29" s="94">
        <f>Data_File!C42</f>
        <v>19</v>
      </c>
      <c r="B29" s="94">
        <f>Data_File!D42</f>
        <v>325</v>
      </c>
      <c r="C29" s="94">
        <f>Data_File!E42</f>
        <v>44</v>
      </c>
      <c r="D29" s="94">
        <f t="shared" si="0"/>
        <v>40.34848200366403</v>
      </c>
      <c r="E29" s="94">
        <f t="shared" si="6"/>
        <v>0.05528624690550173</v>
      </c>
      <c r="G29" s="94">
        <f>Data_File!C42</f>
        <v>19</v>
      </c>
      <c r="H29" s="94">
        <f>Data_File!D42</f>
        <v>325</v>
      </c>
      <c r="I29" s="94">
        <f>Data_File!E42</f>
        <v>44</v>
      </c>
      <c r="J29" s="94">
        <f t="shared" si="1"/>
        <v>0.45513534597654864</v>
      </c>
      <c r="K29" s="94">
        <f t="shared" si="7"/>
        <v>0.028880043986069515</v>
      </c>
      <c r="L29" s="94">
        <f t="shared" si="10"/>
        <v>0.03326332427884963</v>
      </c>
      <c r="M29" s="94">
        <f t="shared" si="12"/>
        <v>0.040468784128569656</v>
      </c>
      <c r="N29" s="94">
        <f t="shared" si="14"/>
        <v>0.04661095245831463</v>
      </c>
      <c r="O29" s="94">
        <f t="shared" si="16"/>
        <v>0.05524603047043931</v>
      </c>
      <c r="P29" s="94">
        <f t="shared" si="18"/>
        <v>0.06551639306320324</v>
      </c>
      <c r="Q29" s="94">
        <f t="shared" si="20"/>
        <v>0.07685867799904054</v>
      </c>
      <c r="R29" s="94">
        <f t="shared" si="22"/>
        <v>0.09180721644400855</v>
      </c>
      <c r="S29" s="94">
        <f t="shared" si="24"/>
        <v>0.10770344573461509</v>
      </c>
      <c r="T29" s="94">
        <f t="shared" si="26"/>
        <v>0.12761301074925832</v>
      </c>
      <c r="U29" s="94">
        <f t="shared" si="28"/>
        <v>0.15097888403498747</v>
      </c>
      <c r="V29" s="94">
        <f t="shared" si="30"/>
        <v>0.17905052005975655</v>
      </c>
      <c r="W29" s="94">
        <f t="shared" si="32"/>
        <v>0.21272832564343006</v>
      </c>
      <c r="X29" s="94">
        <f t="shared" si="34"/>
        <v>0.25457908441826754</v>
      </c>
      <c r="Y29" s="94">
        <f>$J$26*($I29/$I$26)^$J$4+(1-$J$26)*($I29/$I$26)^$K$4</f>
        <v>0.3128496187697077</v>
      </c>
      <c r="Z29" s="94">
        <f>$J$27*($I29/$I$27)^$J$4+(1-$J$27)*($I29/$I$27)^$K$4</f>
        <v>0.4156254745529473</v>
      </c>
      <c r="AA29" s="94">
        <f>$J$28*($I29/$I$28)^$J$4+(1-$J$28)*($I29/$I$28)^$K$4</f>
        <v>0.6745388698108155</v>
      </c>
      <c r="AB29" s="94">
        <f>$J$29*($I29/$I$29)^$J$4+(1-$J$29)*($I29/$I$29)^$K$4</f>
        <v>1</v>
      </c>
      <c r="AC29" s="94">
        <v>1</v>
      </c>
      <c r="AF29" s="94">
        <f t="shared" si="2"/>
        <v>19</v>
      </c>
      <c r="AG29" s="94">
        <f t="shared" si="3"/>
        <v>325</v>
      </c>
      <c r="AH29" s="94">
        <f t="shared" si="4"/>
        <v>44</v>
      </c>
      <c r="AI29" s="94">
        <f t="shared" si="5"/>
        <v>0.0023357937523289206</v>
      </c>
      <c r="AJ29" s="94">
        <f t="shared" si="8"/>
        <v>0.0026903098558303806</v>
      </c>
      <c r="AK29" s="94">
        <f t="shared" si="11"/>
        <v>0.003273081822464642</v>
      </c>
      <c r="AL29" s="94">
        <f t="shared" si="13"/>
        <v>0.0037698563968912926</v>
      </c>
      <c r="AM29" s="94">
        <f t="shared" si="15"/>
        <v>0.004468259373699733</v>
      </c>
      <c r="AN29" s="94">
        <f t="shared" si="17"/>
        <v>0.005298938475472428</v>
      </c>
      <c r="AO29" s="94">
        <f t="shared" si="19"/>
        <v>0.006216367844877738</v>
      </c>
      <c r="AP29" s="94">
        <f t="shared" si="21"/>
        <v>0.007425732062687221</v>
      </c>
      <c r="AQ29" s="94">
        <f t="shared" si="23"/>
        <v>0.008712603875086697</v>
      </c>
      <c r="AR29" s="94">
        <f t="shared" si="25"/>
        <v>0.010327837135954435</v>
      </c>
      <c r="AS29" s="94">
        <f t="shared" si="27"/>
        <v>0.012237278650695849</v>
      </c>
      <c r="AT29" s="94">
        <f t="shared" si="29"/>
        <v>0.0145871186445386</v>
      </c>
      <c r="AU29" s="94">
        <f t="shared" si="31"/>
        <v>0.017628993756330646</v>
      </c>
      <c r="AV29" s="94">
        <f t="shared" si="33"/>
        <v>0.022280748349397417</v>
      </c>
      <c r="AW29" s="94">
        <f t="shared" si="35"/>
        <v>0.03208229963849363</v>
      </c>
      <c r="AX29" s="94">
        <f>Z29-Z30</f>
        <v>0.06066513015684605</v>
      </c>
      <c r="AY29" s="94">
        <f>AA29-AA30</f>
        <v>0.16302469827469057</v>
      </c>
      <c r="AZ29" s="94">
        <f>AB29-AB30</f>
        <v>0.3092268648839749</v>
      </c>
      <c r="BA29" s="94">
        <f>AC29-AC30</f>
        <v>0</v>
      </c>
      <c r="BF29" s="94">
        <f t="shared" si="9"/>
        <v>0.5528624690550173</v>
      </c>
    </row>
    <row r="30" spans="1:54" ht="12.75">
      <c r="A30" s="94">
        <f>Data_File!C43</f>
        <v>20</v>
      </c>
      <c r="B30" s="94">
        <f>Data_File!D43</f>
        <v>400</v>
      </c>
      <c r="C30" s="94">
        <f>Data_File!E43</f>
        <v>37</v>
      </c>
      <c r="D30" s="94">
        <f>C30/2</f>
        <v>18.5</v>
      </c>
      <c r="E30" s="94">
        <v>0</v>
      </c>
      <c r="G30" s="94">
        <f>Data_File!C43</f>
        <v>20</v>
      </c>
      <c r="H30" s="94">
        <f>Data_File!D43</f>
        <v>400</v>
      </c>
      <c r="I30" s="94">
        <f>Data_File!E43</f>
        <v>37</v>
      </c>
      <c r="J30" s="94">
        <f t="shared" si="1"/>
        <v>0.45513534597654864</v>
      </c>
      <c r="K30" s="94">
        <f t="shared" si="7"/>
        <v>0.026544250233740595</v>
      </c>
      <c r="L30" s="94">
        <f t="shared" si="10"/>
        <v>0.030573014423019247</v>
      </c>
      <c r="M30" s="94">
        <f t="shared" si="12"/>
        <v>0.037195702306105013</v>
      </c>
      <c r="N30" s="94">
        <f t="shared" si="14"/>
        <v>0.04284109606142334</v>
      </c>
      <c r="O30" s="94">
        <f t="shared" si="16"/>
        <v>0.050777771096739574</v>
      </c>
      <c r="P30" s="94">
        <f t="shared" si="18"/>
        <v>0.06021745458773081</v>
      </c>
      <c r="Q30" s="94">
        <f t="shared" si="20"/>
        <v>0.07064231015416281</v>
      </c>
      <c r="R30" s="94">
        <f t="shared" si="22"/>
        <v>0.08438148438132133</v>
      </c>
      <c r="S30" s="94">
        <f t="shared" si="24"/>
        <v>0.09899084185952839</v>
      </c>
      <c r="T30" s="94">
        <f t="shared" si="26"/>
        <v>0.11728517361330389</v>
      </c>
      <c r="U30" s="94">
        <f t="shared" si="28"/>
        <v>0.13874160538429162</v>
      </c>
      <c r="V30" s="94">
        <f t="shared" si="30"/>
        <v>0.16446340141521795</v>
      </c>
      <c r="W30" s="94">
        <f t="shared" si="32"/>
        <v>0.1950993318870994</v>
      </c>
      <c r="X30" s="94">
        <f t="shared" si="34"/>
        <v>0.23229833606887013</v>
      </c>
      <c r="Y30" s="94">
        <f>$J$26*($I30/$I$26)^$J$4+(1-$J$26)*($I30/$I$26)^$K$4</f>
        <v>0.28076731913121405</v>
      </c>
      <c r="Z30" s="94">
        <f>$J$27*($I30/$I$27)^$J$4+(1-$J$27)*($I30/$I$27)^$K$4</f>
        <v>0.35496034439610125</v>
      </c>
      <c r="AA30" s="94">
        <f>$J$28*($I30/$I$28)^$J$4+(1-$J$28)*($I30/$I$28)^$K$4</f>
        <v>0.5115141715361249</v>
      </c>
      <c r="AB30" s="94">
        <f>$J$29*($I30/$I$29)^$J$4+(1-$J$29)*($I30/$I$29)^$K$4</f>
        <v>0.6907731351160251</v>
      </c>
      <c r="AC30" s="94">
        <f>$J$30*($I30/$I$30)^$J$4+(1-$J$30)*($I30/$I$30)^$K$4</f>
        <v>1</v>
      </c>
      <c r="AD30" s="94">
        <v>1</v>
      </c>
      <c r="AF30" s="94">
        <f t="shared" si="2"/>
        <v>20</v>
      </c>
      <c r="AG30" s="94">
        <f t="shared" si="3"/>
        <v>400</v>
      </c>
      <c r="AH30" s="94">
        <f t="shared" si="4"/>
        <v>37</v>
      </c>
      <c r="AI30" s="94">
        <f t="shared" si="5"/>
        <v>0.026544250233740595</v>
      </c>
      <c r="AJ30" s="94">
        <f t="shared" si="8"/>
        <v>0.030573014423019247</v>
      </c>
      <c r="AK30" s="94">
        <f t="shared" si="11"/>
        <v>0.037195702306105013</v>
      </c>
      <c r="AL30" s="94">
        <f t="shared" si="13"/>
        <v>0.04284109606142334</v>
      </c>
      <c r="AM30" s="94">
        <f t="shared" si="15"/>
        <v>0.050777771096739574</v>
      </c>
      <c r="AN30" s="94">
        <f t="shared" si="17"/>
        <v>0.06021745458773081</v>
      </c>
      <c r="AO30" s="94">
        <f t="shared" si="19"/>
        <v>0.07064231015416281</v>
      </c>
      <c r="AP30" s="94">
        <f t="shared" si="21"/>
        <v>0.08438148438132133</v>
      </c>
      <c r="AQ30" s="94">
        <f t="shared" si="23"/>
        <v>0.09899084185952839</v>
      </c>
      <c r="AR30" s="94">
        <f t="shared" si="25"/>
        <v>0.11728517361330389</v>
      </c>
      <c r="AS30" s="94">
        <f t="shared" si="27"/>
        <v>0.13874160538429162</v>
      </c>
      <c r="AT30" s="94">
        <f t="shared" si="29"/>
        <v>0.16446340141521795</v>
      </c>
      <c r="AU30" s="94">
        <f t="shared" si="31"/>
        <v>0.1950993318870994</v>
      </c>
      <c r="AV30" s="94">
        <f t="shared" si="33"/>
        <v>0.23229833606887013</v>
      </c>
      <c r="AW30" s="94">
        <f t="shared" si="35"/>
        <v>0.28076731913121405</v>
      </c>
      <c r="AX30" s="94">
        <f>Z30-Z31</f>
        <v>0.35496034439610125</v>
      </c>
      <c r="AY30" s="94">
        <f>AA30-AA31</f>
        <v>0.5115141715361249</v>
      </c>
      <c r="AZ30" s="94">
        <f>AB30-AB31</f>
        <v>0.6907731351160251</v>
      </c>
      <c r="BA30" s="94">
        <f>AC30-AC31</f>
        <v>1</v>
      </c>
      <c r="BB30" s="94">
        <v>0</v>
      </c>
    </row>
    <row r="32" spans="35:54" ht="12.75">
      <c r="AI32" s="94">
        <f aca="true" t="shared" si="36" ref="AI32:BB32">SUM(AI11:AI30)</f>
        <v>0.9999999999999998</v>
      </c>
      <c r="AJ32" s="94">
        <f t="shared" si="36"/>
        <v>1.0000000000000002</v>
      </c>
      <c r="AK32" s="94">
        <f t="shared" si="36"/>
        <v>0.9999999999999999</v>
      </c>
      <c r="AL32" s="94">
        <f t="shared" si="36"/>
        <v>1</v>
      </c>
      <c r="AM32" s="94">
        <f t="shared" si="36"/>
        <v>1.0000000000000002</v>
      </c>
      <c r="AN32" s="94">
        <f t="shared" si="36"/>
        <v>1</v>
      </c>
      <c r="AO32" s="94">
        <f t="shared" si="36"/>
        <v>0.9999999999999999</v>
      </c>
      <c r="AP32" s="94">
        <f t="shared" si="36"/>
        <v>1.0000000000000002</v>
      </c>
      <c r="AQ32" s="94">
        <f t="shared" si="36"/>
        <v>1</v>
      </c>
      <c r="AR32" s="94">
        <f t="shared" si="36"/>
        <v>1</v>
      </c>
      <c r="AS32" s="94">
        <f t="shared" si="36"/>
        <v>1</v>
      </c>
      <c r="AT32" s="94">
        <f t="shared" si="36"/>
        <v>1</v>
      </c>
      <c r="AU32" s="94">
        <f t="shared" si="36"/>
        <v>1</v>
      </c>
      <c r="AV32" s="94">
        <f t="shared" si="36"/>
        <v>1</v>
      </c>
      <c r="AW32" s="94">
        <f t="shared" si="36"/>
        <v>1</v>
      </c>
      <c r="AX32" s="94">
        <f t="shared" si="36"/>
        <v>1</v>
      </c>
      <c r="AY32" s="94">
        <f t="shared" si="36"/>
        <v>1</v>
      </c>
      <c r="AZ32" s="94">
        <f t="shared" si="36"/>
        <v>1</v>
      </c>
      <c r="BA32" s="94">
        <f t="shared" si="36"/>
        <v>1</v>
      </c>
      <c r="BB32" s="94">
        <f t="shared" si="36"/>
        <v>0</v>
      </c>
    </row>
    <row r="35" spans="2:8" ht="12.75">
      <c r="B35" s="151" t="s">
        <v>148</v>
      </c>
      <c r="C35" s="151"/>
      <c r="D35" s="151">
        <f>Data_File!R15</f>
        <v>5269.354300548002</v>
      </c>
      <c r="E35" s="151"/>
      <c r="F35" s="151" t="s">
        <v>149</v>
      </c>
      <c r="G35" s="151"/>
      <c r="H35" s="151">
        <f>0.1205*Data_File!E19*D38*(D37/Data_File!C11^2)/H36</f>
        <v>3.59382028065163</v>
      </c>
    </row>
    <row r="36" spans="2:8" ht="12.75">
      <c r="B36" s="151" t="s">
        <v>150</v>
      </c>
      <c r="C36" s="151"/>
      <c r="D36" s="151">
        <f>D35/(Data_File!E15/100)-D35</f>
        <v>1204.0539310834502</v>
      </c>
      <c r="E36" s="151"/>
      <c r="F36" s="151" t="s">
        <v>151</v>
      </c>
      <c r="G36" s="151"/>
      <c r="H36" s="151">
        <f>1/(1-D39/64)^1.6</f>
        <v>29.477403502072214</v>
      </c>
    </row>
    <row r="37" spans="2:8" ht="12.75">
      <c r="B37" s="151" t="s">
        <v>68</v>
      </c>
      <c r="C37" s="151"/>
      <c r="D37" s="151">
        <f>D35/Data_File!E16+D36</f>
        <v>2753.864019479922</v>
      </c>
      <c r="E37" s="151"/>
      <c r="F37" s="151"/>
      <c r="G37" s="151"/>
      <c r="H37" s="151"/>
    </row>
    <row r="38" spans="2:8" ht="12.75">
      <c r="B38" s="151" t="s">
        <v>69</v>
      </c>
      <c r="C38" s="151"/>
      <c r="D38" s="151">
        <f>(D35+D36)/D37</f>
        <v>2.350663716814159</v>
      </c>
      <c r="E38" s="151"/>
      <c r="F38" s="151"/>
      <c r="G38" s="151"/>
      <c r="H38" s="151"/>
    </row>
    <row r="39" spans="2:8" ht="12.75">
      <c r="B39" s="151" t="s">
        <v>152</v>
      </c>
      <c r="C39" s="151"/>
      <c r="D39" s="151">
        <f>D35/Data_File!E16/D37*100</f>
        <v>56.27765486725663</v>
      </c>
      <c r="E39" s="151"/>
      <c r="F39" s="151"/>
      <c r="G39" s="151"/>
      <c r="H39" s="151"/>
    </row>
    <row r="41" spans="2:8" ht="12.75">
      <c r="B41" s="149" t="s">
        <v>11</v>
      </c>
      <c r="C41" s="150">
        <f>Data_File!R18</f>
        <v>1.1679468282090937</v>
      </c>
      <c r="F41" s="151" t="s">
        <v>153</v>
      </c>
      <c r="G41" s="151"/>
      <c r="H41" s="151">
        <f>0.26*H35*(Data_File!D11/Data_File!C11)/(Data_File!E11/100)^0.5+1.3</f>
        <v>3.02215919411374</v>
      </c>
    </row>
    <row r="42" spans="2:3" ht="12.75">
      <c r="B42" s="149"/>
      <c r="C42" s="149"/>
    </row>
    <row r="43" ht="12.75">
      <c r="B43" s="94" t="s">
        <v>12</v>
      </c>
    </row>
    <row r="44" spans="2:21" ht="12.75">
      <c r="B44" s="95">
        <v>1</v>
      </c>
      <c r="C44" s="95">
        <f aca="true" t="shared" si="37" ref="C44:U44">B44+1</f>
        <v>2</v>
      </c>
      <c r="D44" s="95">
        <f t="shared" si="37"/>
        <v>3</v>
      </c>
      <c r="E44" s="95">
        <f t="shared" si="37"/>
        <v>4</v>
      </c>
      <c r="F44" s="95">
        <f t="shared" si="37"/>
        <v>5</v>
      </c>
      <c r="G44" s="95">
        <f t="shared" si="37"/>
        <v>6</v>
      </c>
      <c r="H44" s="95">
        <f t="shared" si="37"/>
        <v>7</v>
      </c>
      <c r="I44" s="95">
        <f t="shared" si="37"/>
        <v>8</v>
      </c>
      <c r="J44" s="95">
        <f t="shared" si="37"/>
        <v>9</v>
      </c>
      <c r="K44" s="95">
        <f t="shared" si="37"/>
        <v>10</v>
      </c>
      <c r="L44" s="95">
        <f t="shared" si="37"/>
        <v>11</v>
      </c>
      <c r="M44" s="95">
        <f t="shared" si="37"/>
        <v>12</v>
      </c>
      <c r="N44" s="95">
        <f t="shared" si="37"/>
        <v>13</v>
      </c>
      <c r="O44" s="95">
        <f t="shared" si="37"/>
        <v>14</v>
      </c>
      <c r="P44" s="95">
        <f t="shared" si="37"/>
        <v>15</v>
      </c>
      <c r="Q44" s="95">
        <f t="shared" si="37"/>
        <v>16</v>
      </c>
      <c r="R44" s="95">
        <f t="shared" si="37"/>
        <v>17</v>
      </c>
      <c r="S44" s="95">
        <f t="shared" si="37"/>
        <v>18</v>
      </c>
      <c r="T44" s="95">
        <f t="shared" si="37"/>
        <v>19</v>
      </c>
      <c r="U44" s="95">
        <f t="shared" si="37"/>
        <v>20</v>
      </c>
    </row>
    <row r="45" spans="1:21" ht="12.75">
      <c r="A45" s="95">
        <v>1</v>
      </c>
      <c r="B45" s="94">
        <f>1/(1+$E11*$C$41/$H$41)^$H$41</f>
        <v>0.7685062710366639</v>
      </c>
      <c r="C45" s="94">
        <v>0</v>
      </c>
      <c r="D45" s="94">
        <v>0</v>
      </c>
      <c r="E45" s="94">
        <v>0</v>
      </c>
      <c r="F45" s="94">
        <v>0</v>
      </c>
      <c r="G45" s="94">
        <v>0</v>
      </c>
      <c r="H45" s="94">
        <v>0</v>
      </c>
      <c r="I45" s="94">
        <v>0</v>
      </c>
      <c r="J45" s="94">
        <v>0</v>
      </c>
      <c r="K45" s="94">
        <v>0</v>
      </c>
      <c r="L45" s="94">
        <v>0</v>
      </c>
      <c r="M45" s="94">
        <v>0</v>
      </c>
      <c r="N45" s="94">
        <v>0</v>
      </c>
      <c r="O45" s="94">
        <v>0</v>
      </c>
      <c r="P45" s="94">
        <v>0</v>
      </c>
      <c r="Q45" s="94">
        <v>0</v>
      </c>
      <c r="R45" s="94">
        <v>0</v>
      </c>
      <c r="S45" s="94">
        <v>0</v>
      </c>
      <c r="T45" s="94">
        <v>0</v>
      </c>
      <c r="U45" s="94">
        <v>0</v>
      </c>
    </row>
    <row r="46" spans="1:21" ht="12.75">
      <c r="A46" s="95">
        <f aca="true" t="shared" si="38" ref="A46:A64">A45+1</f>
        <v>2</v>
      </c>
      <c r="B46" s="94">
        <v>0</v>
      </c>
      <c r="C46" s="94">
        <f>1/(1+$E12*$C$41/$H$41)^$H$41</f>
        <v>0.5560489200638892</v>
      </c>
      <c r="D46" s="94">
        <v>0</v>
      </c>
      <c r="E46" s="94">
        <v>0</v>
      </c>
      <c r="F46" s="94">
        <v>0</v>
      </c>
      <c r="G46" s="94">
        <v>0</v>
      </c>
      <c r="H46" s="94">
        <v>0</v>
      </c>
      <c r="I46" s="94">
        <v>0</v>
      </c>
      <c r="J46" s="94">
        <v>0</v>
      </c>
      <c r="K46" s="94">
        <v>0</v>
      </c>
      <c r="L46" s="94">
        <v>0</v>
      </c>
      <c r="M46" s="94">
        <v>0</v>
      </c>
      <c r="N46" s="94">
        <v>0</v>
      </c>
      <c r="O46" s="94">
        <v>0</v>
      </c>
      <c r="P46" s="94">
        <v>0</v>
      </c>
      <c r="Q46" s="94">
        <v>0</v>
      </c>
      <c r="R46" s="94">
        <v>0</v>
      </c>
      <c r="S46" s="94">
        <v>0</v>
      </c>
      <c r="T46" s="94">
        <v>0</v>
      </c>
      <c r="U46" s="94">
        <v>0</v>
      </c>
    </row>
    <row r="47" spans="1:21" ht="12.75">
      <c r="A47" s="95">
        <f t="shared" si="38"/>
        <v>3</v>
      </c>
      <c r="B47" s="94">
        <v>0</v>
      </c>
      <c r="C47" s="94">
        <v>0</v>
      </c>
      <c r="D47" s="94">
        <f>1/(1+$E13*$C$41/$H$41)^$H$41</f>
        <v>0.338463626024461</v>
      </c>
      <c r="E47" s="94">
        <v>0</v>
      </c>
      <c r="F47" s="94">
        <v>0</v>
      </c>
      <c r="G47" s="94">
        <v>0</v>
      </c>
      <c r="H47" s="94">
        <v>0</v>
      </c>
      <c r="I47" s="94">
        <v>0</v>
      </c>
      <c r="J47" s="94">
        <v>0</v>
      </c>
      <c r="K47" s="94">
        <v>0</v>
      </c>
      <c r="L47" s="94">
        <v>0</v>
      </c>
      <c r="M47" s="94">
        <v>0</v>
      </c>
      <c r="N47" s="94">
        <v>0</v>
      </c>
      <c r="O47" s="94">
        <v>0</v>
      </c>
      <c r="P47" s="94">
        <v>0</v>
      </c>
      <c r="Q47" s="94">
        <v>0</v>
      </c>
      <c r="R47" s="94">
        <v>0</v>
      </c>
      <c r="S47" s="94">
        <v>0</v>
      </c>
      <c r="T47" s="94">
        <v>0</v>
      </c>
      <c r="U47" s="94">
        <v>0</v>
      </c>
    </row>
    <row r="48" spans="1:21" ht="12.75">
      <c r="A48" s="95">
        <f t="shared" si="38"/>
        <v>4</v>
      </c>
      <c r="B48" s="94">
        <v>0</v>
      </c>
      <c r="C48" s="94">
        <v>0</v>
      </c>
      <c r="D48" s="94">
        <v>0</v>
      </c>
      <c r="E48" s="94">
        <f>1/(1+$E14*$C$41/$H$41)^$H$41</f>
        <v>0.2230428291573375</v>
      </c>
      <c r="F48" s="94">
        <v>0</v>
      </c>
      <c r="G48" s="94">
        <v>0</v>
      </c>
      <c r="H48" s="94">
        <v>0</v>
      </c>
      <c r="I48" s="94">
        <v>0</v>
      </c>
      <c r="J48" s="94">
        <v>0</v>
      </c>
      <c r="K48" s="94">
        <v>0</v>
      </c>
      <c r="L48" s="94">
        <v>0</v>
      </c>
      <c r="M48" s="94">
        <v>0</v>
      </c>
      <c r="N48" s="94">
        <v>0</v>
      </c>
      <c r="O48" s="94">
        <v>0</v>
      </c>
      <c r="P48" s="94">
        <v>0</v>
      </c>
      <c r="Q48" s="94">
        <v>0</v>
      </c>
      <c r="R48" s="94">
        <v>0</v>
      </c>
      <c r="S48" s="94">
        <v>0</v>
      </c>
      <c r="T48" s="94">
        <v>0</v>
      </c>
      <c r="U48" s="94">
        <v>0</v>
      </c>
    </row>
    <row r="49" spans="1:21" ht="12.75">
      <c r="A49" s="95">
        <f t="shared" si="38"/>
        <v>5</v>
      </c>
      <c r="B49" s="94">
        <v>0</v>
      </c>
      <c r="C49" s="94">
        <v>0</v>
      </c>
      <c r="D49" s="94">
        <v>0</v>
      </c>
      <c r="E49" s="94">
        <v>0</v>
      </c>
      <c r="F49" s="94">
        <f>1/(1+$E15*$C$41/$H$41)^$H$41</f>
        <v>0.2057802144726573</v>
      </c>
      <c r="G49" s="94">
        <v>0</v>
      </c>
      <c r="H49" s="94">
        <v>0</v>
      </c>
      <c r="I49" s="94">
        <v>0</v>
      </c>
      <c r="J49" s="94">
        <v>0</v>
      </c>
      <c r="K49" s="94">
        <v>0</v>
      </c>
      <c r="L49" s="94">
        <v>0</v>
      </c>
      <c r="M49" s="94">
        <v>0</v>
      </c>
      <c r="N49" s="94">
        <v>0</v>
      </c>
      <c r="O49" s="94">
        <v>0</v>
      </c>
      <c r="P49" s="94">
        <v>0</v>
      </c>
      <c r="Q49" s="94">
        <v>0</v>
      </c>
      <c r="R49" s="94">
        <v>0</v>
      </c>
      <c r="S49" s="94">
        <v>0</v>
      </c>
      <c r="T49" s="94">
        <v>0</v>
      </c>
      <c r="U49" s="94">
        <v>0</v>
      </c>
    </row>
    <row r="50" spans="1:21" ht="12.75">
      <c r="A50" s="95">
        <f t="shared" si="38"/>
        <v>6</v>
      </c>
      <c r="B50" s="94">
        <v>0</v>
      </c>
      <c r="C50" s="94">
        <v>0</v>
      </c>
      <c r="D50" s="94">
        <v>0</v>
      </c>
      <c r="E50" s="94">
        <v>0</v>
      </c>
      <c r="F50" s="94">
        <v>0</v>
      </c>
      <c r="G50" s="94">
        <f>1/(1+$E16*$C$41/$H$41)^$H$41</f>
        <v>0.24280546378408463</v>
      </c>
      <c r="H50" s="94">
        <v>0</v>
      </c>
      <c r="I50" s="94">
        <v>0</v>
      </c>
      <c r="J50" s="94">
        <v>0</v>
      </c>
      <c r="K50" s="94">
        <v>0</v>
      </c>
      <c r="L50" s="94">
        <v>0</v>
      </c>
      <c r="M50" s="94">
        <v>0</v>
      </c>
      <c r="N50" s="94">
        <v>0</v>
      </c>
      <c r="O50" s="94">
        <v>0</v>
      </c>
      <c r="P50" s="94">
        <v>0</v>
      </c>
      <c r="Q50" s="94">
        <v>0</v>
      </c>
      <c r="R50" s="94">
        <v>0</v>
      </c>
      <c r="S50" s="94">
        <v>0</v>
      </c>
      <c r="T50" s="94">
        <v>0</v>
      </c>
      <c r="U50" s="94">
        <v>0</v>
      </c>
    </row>
    <row r="51" spans="1:21" ht="12.75">
      <c r="A51" s="95">
        <f t="shared" si="38"/>
        <v>7</v>
      </c>
      <c r="B51" s="94">
        <v>0</v>
      </c>
      <c r="C51" s="94">
        <v>0</v>
      </c>
      <c r="D51" s="94">
        <v>0</v>
      </c>
      <c r="E51" s="94">
        <v>0</v>
      </c>
      <c r="F51" s="94">
        <v>0</v>
      </c>
      <c r="G51" s="94">
        <v>0</v>
      </c>
      <c r="H51" s="94">
        <f>1/(1+$E17*$C$41/$H$41)^$H$41</f>
        <v>0.30826803773103656</v>
      </c>
      <c r="I51" s="94">
        <v>0</v>
      </c>
      <c r="J51" s="94">
        <v>0</v>
      </c>
      <c r="K51" s="94">
        <v>0</v>
      </c>
      <c r="L51" s="94">
        <v>0</v>
      </c>
      <c r="M51" s="94">
        <v>0</v>
      </c>
      <c r="N51" s="94">
        <v>0</v>
      </c>
      <c r="O51" s="94">
        <v>0</v>
      </c>
      <c r="P51" s="94">
        <v>0</v>
      </c>
      <c r="Q51" s="94">
        <v>0</v>
      </c>
      <c r="R51" s="94">
        <v>0</v>
      </c>
      <c r="S51" s="94">
        <v>0</v>
      </c>
      <c r="T51" s="94">
        <v>0</v>
      </c>
      <c r="U51" s="94">
        <v>0</v>
      </c>
    </row>
    <row r="52" spans="1:21" ht="12.75">
      <c r="A52" s="95">
        <f t="shared" si="38"/>
        <v>8</v>
      </c>
      <c r="B52" s="94">
        <v>0</v>
      </c>
      <c r="C52" s="94">
        <v>0</v>
      </c>
      <c r="D52" s="94">
        <v>0</v>
      </c>
      <c r="E52" s="94">
        <v>0</v>
      </c>
      <c r="F52" s="94">
        <v>0</v>
      </c>
      <c r="G52" s="94">
        <v>0</v>
      </c>
      <c r="H52" s="94">
        <v>0</v>
      </c>
      <c r="I52" s="94">
        <f>1/(1+$E18*$C$41/$H$41)^$H$41</f>
        <v>0.38969860657061395</v>
      </c>
      <c r="J52" s="94">
        <v>0</v>
      </c>
      <c r="K52" s="94">
        <v>0</v>
      </c>
      <c r="L52" s="94">
        <v>0</v>
      </c>
      <c r="M52" s="94">
        <v>0</v>
      </c>
      <c r="N52" s="94">
        <v>0</v>
      </c>
      <c r="O52" s="94">
        <v>0</v>
      </c>
      <c r="P52" s="94">
        <v>0</v>
      </c>
      <c r="Q52" s="94">
        <v>0</v>
      </c>
      <c r="R52" s="94">
        <v>0</v>
      </c>
      <c r="S52" s="94">
        <v>0</v>
      </c>
      <c r="T52" s="94">
        <v>0</v>
      </c>
      <c r="U52" s="94">
        <v>0</v>
      </c>
    </row>
    <row r="53" spans="1:21" ht="12.75">
      <c r="A53" s="95">
        <f t="shared" si="38"/>
        <v>9</v>
      </c>
      <c r="B53" s="94">
        <v>0</v>
      </c>
      <c r="C53" s="94">
        <v>0</v>
      </c>
      <c r="D53" s="94">
        <v>0</v>
      </c>
      <c r="E53" s="94">
        <v>0</v>
      </c>
      <c r="F53" s="94">
        <v>0</v>
      </c>
      <c r="G53" s="94">
        <v>0</v>
      </c>
      <c r="H53" s="94">
        <v>0</v>
      </c>
      <c r="I53" s="94">
        <v>0</v>
      </c>
      <c r="J53" s="94">
        <f>1/(1+$E19*$C$41/$H$41)^$H$41</f>
        <v>0.4759356811795449</v>
      </c>
      <c r="K53" s="94">
        <v>0</v>
      </c>
      <c r="L53" s="94">
        <v>0</v>
      </c>
      <c r="M53" s="94">
        <v>0</v>
      </c>
      <c r="N53" s="94">
        <v>0</v>
      </c>
      <c r="O53" s="94">
        <v>0</v>
      </c>
      <c r="P53" s="94">
        <v>0</v>
      </c>
      <c r="Q53" s="94">
        <v>0</v>
      </c>
      <c r="R53" s="94">
        <v>0</v>
      </c>
      <c r="S53" s="94">
        <v>0</v>
      </c>
      <c r="T53" s="94">
        <v>0</v>
      </c>
      <c r="U53" s="94">
        <v>0</v>
      </c>
    </row>
    <row r="54" spans="1:21" ht="12.75">
      <c r="A54" s="95">
        <f t="shared" si="38"/>
        <v>10</v>
      </c>
      <c r="B54" s="94">
        <v>0</v>
      </c>
      <c r="C54" s="94">
        <v>0</v>
      </c>
      <c r="D54" s="94">
        <v>0</v>
      </c>
      <c r="E54" s="94">
        <v>0</v>
      </c>
      <c r="F54" s="94">
        <v>0</v>
      </c>
      <c r="G54" s="94">
        <v>0</v>
      </c>
      <c r="H54" s="94">
        <v>0</v>
      </c>
      <c r="I54" s="94">
        <v>0</v>
      </c>
      <c r="J54" s="94">
        <v>0</v>
      </c>
      <c r="K54" s="94">
        <f>1/(1+$E20*$C$41/$H$41)^$H$41</f>
        <v>0.5582643926031201</v>
      </c>
      <c r="L54" s="94">
        <v>0</v>
      </c>
      <c r="M54" s="94">
        <v>0</v>
      </c>
      <c r="N54" s="94">
        <v>0</v>
      </c>
      <c r="O54" s="94">
        <v>0</v>
      </c>
      <c r="P54" s="94">
        <v>0</v>
      </c>
      <c r="Q54" s="94">
        <v>0</v>
      </c>
      <c r="R54" s="94">
        <v>0</v>
      </c>
      <c r="S54" s="94">
        <v>0</v>
      </c>
      <c r="T54" s="94">
        <v>0</v>
      </c>
      <c r="U54" s="94">
        <v>0</v>
      </c>
    </row>
    <row r="55" spans="1:21" ht="12.75">
      <c r="A55" s="95">
        <f t="shared" si="38"/>
        <v>11</v>
      </c>
      <c r="B55" s="94">
        <v>0</v>
      </c>
      <c r="C55" s="94">
        <v>0</v>
      </c>
      <c r="D55" s="94">
        <v>0</v>
      </c>
      <c r="E55" s="94">
        <v>0</v>
      </c>
      <c r="F55" s="94">
        <v>0</v>
      </c>
      <c r="G55" s="94">
        <v>0</v>
      </c>
      <c r="H55" s="94">
        <v>0</v>
      </c>
      <c r="I55" s="94">
        <v>0</v>
      </c>
      <c r="J55" s="94">
        <v>0</v>
      </c>
      <c r="K55" s="94">
        <v>0</v>
      </c>
      <c r="L55" s="94">
        <f>1/(1+$E21*$C$41/$H$41)^$H$41</f>
        <v>0.6364135594880842</v>
      </c>
      <c r="M55" s="94">
        <v>0</v>
      </c>
      <c r="N55" s="94">
        <v>0</v>
      </c>
      <c r="O55" s="94">
        <v>0</v>
      </c>
      <c r="P55" s="94">
        <v>0</v>
      </c>
      <c r="Q55" s="94">
        <v>0</v>
      </c>
      <c r="R55" s="94">
        <v>0</v>
      </c>
      <c r="S55" s="94">
        <v>0</v>
      </c>
      <c r="T55" s="94">
        <v>0</v>
      </c>
      <c r="U55" s="94">
        <v>0</v>
      </c>
    </row>
    <row r="56" spans="1:21" ht="12.75">
      <c r="A56" s="95">
        <f t="shared" si="38"/>
        <v>12</v>
      </c>
      <c r="B56" s="94">
        <v>0</v>
      </c>
      <c r="C56" s="94">
        <v>0</v>
      </c>
      <c r="D56" s="94">
        <v>0</v>
      </c>
      <c r="E56" s="94">
        <v>0</v>
      </c>
      <c r="F56" s="94">
        <v>0</v>
      </c>
      <c r="G56" s="94">
        <v>0</v>
      </c>
      <c r="H56" s="94">
        <v>0</v>
      </c>
      <c r="I56" s="94">
        <v>0</v>
      </c>
      <c r="J56" s="94">
        <v>0</v>
      </c>
      <c r="K56" s="94">
        <v>0</v>
      </c>
      <c r="L56" s="94">
        <v>0</v>
      </c>
      <c r="M56" s="94">
        <f>1/(1+$E22*$C$41/$H$41)^$H$41</f>
        <v>0.7057043449765488</v>
      </c>
      <c r="N56" s="94">
        <v>0</v>
      </c>
      <c r="O56" s="94">
        <v>0</v>
      </c>
      <c r="P56" s="94">
        <v>0</v>
      </c>
      <c r="Q56" s="94">
        <v>0</v>
      </c>
      <c r="R56" s="94">
        <v>0</v>
      </c>
      <c r="S56" s="94">
        <v>0</v>
      </c>
      <c r="T56" s="94">
        <v>0</v>
      </c>
      <c r="U56" s="94">
        <v>0</v>
      </c>
    </row>
    <row r="57" spans="1:21" ht="12.75">
      <c r="A57" s="95">
        <f t="shared" si="38"/>
        <v>13</v>
      </c>
      <c r="B57" s="94">
        <v>0</v>
      </c>
      <c r="C57" s="94">
        <v>0</v>
      </c>
      <c r="D57" s="94">
        <v>0</v>
      </c>
      <c r="E57" s="94">
        <v>0</v>
      </c>
      <c r="F57" s="94">
        <v>0</v>
      </c>
      <c r="G57" s="94">
        <v>0</v>
      </c>
      <c r="H57" s="94">
        <v>0</v>
      </c>
      <c r="I57" s="94">
        <v>0</v>
      </c>
      <c r="J57" s="94">
        <v>0</v>
      </c>
      <c r="K57" s="94">
        <v>0</v>
      </c>
      <c r="L57" s="94">
        <v>0</v>
      </c>
      <c r="M57" s="94">
        <v>0</v>
      </c>
      <c r="N57" s="94">
        <f>1/(1+$E23*$C$41/$H$41)^$H$41</f>
        <v>0.7652591315156225</v>
      </c>
      <c r="O57" s="94">
        <v>0</v>
      </c>
      <c r="P57" s="94">
        <v>0</v>
      </c>
      <c r="Q57" s="94">
        <v>0</v>
      </c>
      <c r="R57" s="94">
        <v>0</v>
      </c>
      <c r="S57" s="94">
        <v>0</v>
      </c>
      <c r="T57" s="94">
        <v>0</v>
      </c>
      <c r="U57" s="94">
        <v>0</v>
      </c>
    </row>
    <row r="58" spans="1:21" ht="12.75">
      <c r="A58" s="95">
        <f t="shared" si="38"/>
        <v>14</v>
      </c>
      <c r="B58" s="94">
        <v>0</v>
      </c>
      <c r="C58" s="94">
        <v>0</v>
      </c>
      <c r="D58" s="94">
        <v>0</v>
      </c>
      <c r="E58" s="94">
        <v>0</v>
      </c>
      <c r="F58" s="94">
        <v>0</v>
      </c>
      <c r="G58" s="94">
        <v>0</v>
      </c>
      <c r="H58" s="94">
        <v>0</v>
      </c>
      <c r="I58" s="94">
        <v>0</v>
      </c>
      <c r="J58" s="94">
        <v>0</v>
      </c>
      <c r="K58" s="94">
        <v>0</v>
      </c>
      <c r="L58" s="94">
        <v>0</v>
      </c>
      <c r="M58" s="94">
        <v>0</v>
      </c>
      <c r="N58" s="94">
        <v>0</v>
      </c>
      <c r="O58" s="94">
        <f>1/(1+$E24*$C$41/$H$41)^$H$41</f>
        <v>0.814728831776004</v>
      </c>
      <c r="P58" s="94">
        <v>0</v>
      </c>
      <c r="Q58" s="94">
        <v>0</v>
      </c>
      <c r="R58" s="94">
        <v>0</v>
      </c>
      <c r="S58" s="94">
        <v>0</v>
      </c>
      <c r="T58" s="94">
        <v>0</v>
      </c>
      <c r="U58" s="94">
        <v>0</v>
      </c>
    </row>
    <row r="59" spans="1:21" ht="12.75">
      <c r="A59" s="95">
        <f t="shared" si="38"/>
        <v>15</v>
      </c>
      <c r="B59" s="94">
        <v>0</v>
      </c>
      <c r="C59" s="94">
        <v>0</v>
      </c>
      <c r="D59" s="94">
        <v>0</v>
      </c>
      <c r="E59" s="94">
        <v>0</v>
      </c>
      <c r="F59" s="94">
        <v>0</v>
      </c>
      <c r="G59" s="94">
        <v>0</v>
      </c>
      <c r="H59" s="94">
        <v>0</v>
      </c>
      <c r="I59" s="94">
        <v>0</v>
      </c>
      <c r="J59" s="94">
        <v>0</v>
      </c>
      <c r="K59" s="94">
        <v>0</v>
      </c>
      <c r="L59" s="94">
        <v>0</v>
      </c>
      <c r="M59" s="94">
        <v>0</v>
      </c>
      <c r="N59" s="94">
        <v>0</v>
      </c>
      <c r="O59" s="94">
        <v>0</v>
      </c>
      <c r="P59" s="94">
        <f>1/(1+$E25*$C$41/$H$41)^$H$41</f>
        <v>0.8550927514825538</v>
      </c>
      <c r="Q59" s="94">
        <v>0</v>
      </c>
      <c r="R59" s="94">
        <v>0</v>
      </c>
      <c r="S59" s="94">
        <v>0</v>
      </c>
      <c r="T59" s="94">
        <v>0</v>
      </c>
      <c r="U59" s="94">
        <v>0</v>
      </c>
    </row>
    <row r="60" spans="1:21" ht="12.75">
      <c r="A60" s="95">
        <f t="shared" si="38"/>
        <v>16</v>
      </c>
      <c r="B60" s="94">
        <v>0</v>
      </c>
      <c r="C60" s="94">
        <v>0</v>
      </c>
      <c r="D60" s="94">
        <v>0</v>
      </c>
      <c r="E60" s="94">
        <v>0</v>
      </c>
      <c r="F60" s="94">
        <v>0</v>
      </c>
      <c r="G60" s="94">
        <v>0</v>
      </c>
      <c r="H60" s="94">
        <v>0</v>
      </c>
      <c r="I60" s="94">
        <v>0</v>
      </c>
      <c r="J60" s="94">
        <v>0</v>
      </c>
      <c r="K60" s="94">
        <v>0</v>
      </c>
      <c r="L60" s="94">
        <v>0</v>
      </c>
      <c r="M60" s="94">
        <v>0</v>
      </c>
      <c r="N60" s="94">
        <v>0</v>
      </c>
      <c r="O60" s="94">
        <v>0</v>
      </c>
      <c r="P60" s="94">
        <v>0</v>
      </c>
      <c r="Q60" s="94">
        <f>1/(1+$E26*$C$41/$H$41)^$H$41</f>
        <v>0.8874734511366758</v>
      </c>
      <c r="R60" s="94">
        <v>0</v>
      </c>
      <c r="S60" s="94">
        <v>0</v>
      </c>
      <c r="T60" s="94">
        <v>0</v>
      </c>
      <c r="U60" s="94">
        <v>0</v>
      </c>
    </row>
    <row r="61" spans="1:21" ht="12.75">
      <c r="A61" s="95">
        <f t="shared" si="38"/>
        <v>17</v>
      </c>
      <c r="B61" s="94">
        <v>0</v>
      </c>
      <c r="C61" s="94">
        <v>0</v>
      </c>
      <c r="D61" s="94">
        <v>0</v>
      </c>
      <c r="E61" s="94">
        <v>0</v>
      </c>
      <c r="F61" s="94">
        <v>0</v>
      </c>
      <c r="G61" s="94">
        <v>0</v>
      </c>
      <c r="H61" s="94">
        <v>0</v>
      </c>
      <c r="I61" s="94">
        <v>0</v>
      </c>
      <c r="J61" s="94">
        <v>0</v>
      </c>
      <c r="K61" s="94">
        <v>0</v>
      </c>
      <c r="L61" s="94">
        <v>0</v>
      </c>
      <c r="M61" s="94">
        <v>0</v>
      </c>
      <c r="N61" s="94">
        <v>0</v>
      </c>
      <c r="O61" s="94">
        <v>0</v>
      </c>
      <c r="P61" s="94">
        <v>0</v>
      </c>
      <c r="Q61" s="94">
        <v>0</v>
      </c>
      <c r="R61" s="94">
        <f>1/(1+$E27*$C$41/$H$41)^$H$41</f>
        <v>0.9131087041905915</v>
      </c>
      <c r="S61" s="94">
        <v>0</v>
      </c>
      <c r="T61" s="94">
        <v>0</v>
      </c>
      <c r="U61" s="94">
        <v>0</v>
      </c>
    </row>
    <row r="62" spans="1:21" ht="12.75">
      <c r="A62" s="95">
        <f t="shared" si="38"/>
        <v>18</v>
      </c>
      <c r="B62" s="94">
        <v>0</v>
      </c>
      <c r="C62" s="94">
        <v>0</v>
      </c>
      <c r="D62" s="94">
        <v>0</v>
      </c>
      <c r="E62" s="94">
        <v>0</v>
      </c>
      <c r="F62" s="94">
        <v>0</v>
      </c>
      <c r="G62" s="94">
        <v>0</v>
      </c>
      <c r="H62" s="94">
        <v>0</v>
      </c>
      <c r="I62" s="94">
        <v>0</v>
      </c>
      <c r="J62" s="94">
        <v>0</v>
      </c>
      <c r="K62" s="94">
        <v>0</v>
      </c>
      <c r="L62" s="94">
        <v>0</v>
      </c>
      <c r="M62" s="94">
        <v>0</v>
      </c>
      <c r="N62" s="94">
        <v>0</v>
      </c>
      <c r="O62" s="94">
        <v>0</v>
      </c>
      <c r="P62" s="94">
        <v>0</v>
      </c>
      <c r="Q62" s="94">
        <v>0</v>
      </c>
      <c r="R62" s="94">
        <v>0</v>
      </c>
      <c r="S62" s="94">
        <f>1/(1+$E28*$C$41/$H$41)^$H$41</f>
        <v>0.9289976488560415</v>
      </c>
      <c r="T62" s="94">
        <v>0</v>
      </c>
      <c r="U62" s="94">
        <v>0</v>
      </c>
    </row>
    <row r="63" spans="1:21" ht="12.75">
      <c r="A63" s="95">
        <f t="shared" si="38"/>
        <v>19</v>
      </c>
      <c r="B63" s="94">
        <v>0</v>
      </c>
      <c r="C63" s="94">
        <v>0</v>
      </c>
      <c r="D63" s="94">
        <v>0</v>
      </c>
      <c r="E63" s="94">
        <v>0</v>
      </c>
      <c r="F63" s="94">
        <v>0</v>
      </c>
      <c r="G63" s="94">
        <v>0</v>
      </c>
      <c r="H63" s="94">
        <v>0</v>
      </c>
      <c r="I63" s="94">
        <v>0</v>
      </c>
      <c r="J63" s="94">
        <v>0</v>
      </c>
      <c r="K63" s="94">
        <v>0</v>
      </c>
      <c r="L63" s="94">
        <v>0</v>
      </c>
      <c r="M63" s="94">
        <v>0</v>
      </c>
      <c r="N63" s="94">
        <v>0</v>
      </c>
      <c r="O63" s="94">
        <v>0</v>
      </c>
      <c r="P63" s="94">
        <v>0</v>
      </c>
      <c r="Q63" s="94">
        <v>0</v>
      </c>
      <c r="R63" s="94">
        <v>0</v>
      </c>
      <c r="S63" s="94">
        <v>0</v>
      </c>
      <c r="T63" s="94">
        <f>1/(1+$E29*$C$41/$H$41)^$H$41</f>
        <v>0.938107011237723</v>
      </c>
      <c r="U63" s="94">
        <v>0</v>
      </c>
    </row>
    <row r="64" spans="1:21" ht="12.75">
      <c r="A64" s="95">
        <f t="shared" si="38"/>
        <v>20</v>
      </c>
      <c r="B64" s="94">
        <v>0</v>
      </c>
      <c r="C64" s="94">
        <v>0</v>
      </c>
      <c r="D64" s="94">
        <v>0</v>
      </c>
      <c r="E64" s="94">
        <v>0</v>
      </c>
      <c r="F64" s="94">
        <v>0</v>
      </c>
      <c r="G64" s="94">
        <v>0</v>
      </c>
      <c r="H64" s="94">
        <v>0</v>
      </c>
      <c r="I64" s="94">
        <v>0</v>
      </c>
      <c r="J64" s="94">
        <v>0</v>
      </c>
      <c r="K64" s="94">
        <v>0</v>
      </c>
      <c r="L64" s="94">
        <v>0</v>
      </c>
      <c r="M64" s="94">
        <v>0</v>
      </c>
      <c r="N64" s="94">
        <v>0</v>
      </c>
      <c r="O64" s="94">
        <v>0</v>
      </c>
      <c r="P64" s="94">
        <v>0</v>
      </c>
      <c r="Q64" s="94">
        <v>0</v>
      </c>
      <c r="R64" s="94">
        <v>0</v>
      </c>
      <c r="S64" s="94">
        <v>0</v>
      </c>
      <c r="T64" s="94">
        <v>0</v>
      </c>
      <c r="U64" s="94">
        <f>1/(1+$E30*$C$41/$H$41)^$H$41</f>
        <v>1</v>
      </c>
    </row>
    <row r="73" ht="12.75">
      <c r="B73" s="94" t="s">
        <v>13</v>
      </c>
    </row>
    <row r="74" spans="2:24" ht="12.75">
      <c r="B74" s="95">
        <v>1</v>
      </c>
      <c r="C74" s="95">
        <f aca="true" t="shared" si="39" ref="C74:U74">B74+1</f>
        <v>2</v>
      </c>
      <c r="D74" s="95">
        <f t="shared" si="39"/>
        <v>3</v>
      </c>
      <c r="E74" s="95">
        <f t="shared" si="39"/>
        <v>4</v>
      </c>
      <c r="F74" s="95">
        <f t="shared" si="39"/>
        <v>5</v>
      </c>
      <c r="G74" s="95">
        <f t="shared" si="39"/>
        <v>6</v>
      </c>
      <c r="H74" s="95">
        <f t="shared" si="39"/>
        <v>7</v>
      </c>
      <c r="I74" s="95">
        <f t="shared" si="39"/>
        <v>8</v>
      </c>
      <c r="J74" s="95">
        <f t="shared" si="39"/>
        <v>9</v>
      </c>
      <c r="K74" s="95">
        <f t="shared" si="39"/>
        <v>10</v>
      </c>
      <c r="L74" s="95">
        <f t="shared" si="39"/>
        <v>11</v>
      </c>
      <c r="M74" s="95">
        <f t="shared" si="39"/>
        <v>12</v>
      </c>
      <c r="N74" s="95">
        <f t="shared" si="39"/>
        <v>13</v>
      </c>
      <c r="O74" s="95">
        <f t="shared" si="39"/>
        <v>14</v>
      </c>
      <c r="P74" s="95">
        <f t="shared" si="39"/>
        <v>15</v>
      </c>
      <c r="Q74" s="95">
        <f t="shared" si="39"/>
        <v>16</v>
      </c>
      <c r="R74" s="95">
        <f t="shared" si="39"/>
        <v>17</v>
      </c>
      <c r="S74" s="95">
        <f t="shared" si="39"/>
        <v>18</v>
      </c>
      <c r="T74" s="95">
        <f t="shared" si="39"/>
        <v>19</v>
      </c>
      <c r="U74" s="95">
        <f t="shared" si="39"/>
        <v>20</v>
      </c>
      <c r="X74" s="95" t="s">
        <v>7</v>
      </c>
    </row>
    <row r="75" spans="1:24" ht="12.75">
      <c r="A75" s="95">
        <v>1</v>
      </c>
      <c r="B75" s="94">
        <v>1</v>
      </c>
      <c r="C75" s="94">
        <v>0</v>
      </c>
      <c r="D75" s="94">
        <v>0</v>
      </c>
      <c r="E75" s="94">
        <v>0</v>
      </c>
      <c r="F75" s="94">
        <v>0</v>
      </c>
      <c r="G75" s="94">
        <v>0</v>
      </c>
      <c r="H75" s="94">
        <v>0</v>
      </c>
      <c r="I75" s="94">
        <v>0</v>
      </c>
      <c r="J75" s="94">
        <v>0</v>
      </c>
      <c r="K75" s="94">
        <v>0</v>
      </c>
      <c r="L75" s="94">
        <v>0</v>
      </c>
      <c r="M75" s="94">
        <v>0</v>
      </c>
      <c r="N75" s="94">
        <v>0</v>
      </c>
      <c r="O75" s="94">
        <v>0</v>
      </c>
      <c r="P75" s="94">
        <v>0</v>
      </c>
      <c r="Q75" s="94">
        <v>0</v>
      </c>
      <c r="R75" s="94">
        <v>0</v>
      </c>
      <c r="S75" s="94">
        <v>0</v>
      </c>
      <c r="T75" s="94">
        <v>0</v>
      </c>
      <c r="U75" s="94">
        <v>0</v>
      </c>
      <c r="W75" s="95">
        <v>1</v>
      </c>
      <c r="X75" s="94">
        <f>Model!$E11</f>
        <v>0.23555643522238645</v>
      </c>
    </row>
    <row r="76" spans="1:24" ht="12.75">
      <c r="A76" s="95">
        <f aca="true" t="shared" si="40" ref="A76:A94">A75+1</f>
        <v>2</v>
      </c>
      <c r="B76" s="94">
        <f>(INDEX(BIJ,2,1)*INDEX(SIE,1)*INDEX(TIJ,1,1))/(INDEX(SIE,2)-INDEX(SIE,1))</f>
        <v>0.32059578207201406</v>
      </c>
      <c r="C76" s="94">
        <v>1</v>
      </c>
      <c r="D76" s="94">
        <v>0</v>
      </c>
      <c r="E76" s="94">
        <v>0</v>
      </c>
      <c r="F76" s="94">
        <v>0</v>
      </c>
      <c r="G76" s="94">
        <v>0</v>
      </c>
      <c r="H76" s="94">
        <v>0</v>
      </c>
      <c r="I76" s="94">
        <v>0</v>
      </c>
      <c r="J76" s="94">
        <v>0</v>
      </c>
      <c r="K76" s="94">
        <v>0</v>
      </c>
      <c r="L76" s="94">
        <v>0</v>
      </c>
      <c r="M76" s="94">
        <v>0</v>
      </c>
      <c r="N76" s="94">
        <v>0</v>
      </c>
      <c r="O76" s="94">
        <v>0</v>
      </c>
      <c r="P76" s="94">
        <v>0</v>
      </c>
      <c r="Q76" s="94">
        <v>0</v>
      </c>
      <c r="R76" s="94">
        <v>0</v>
      </c>
      <c r="S76" s="94">
        <v>0</v>
      </c>
      <c r="T76" s="94">
        <v>0</v>
      </c>
      <c r="U76" s="94">
        <v>0</v>
      </c>
      <c r="W76" s="95">
        <f aca="true" t="shared" si="41" ref="W76:W94">W75+1</f>
        <v>2</v>
      </c>
      <c r="X76" s="94">
        <f>Model!$E12</f>
        <v>0.5546157660375735</v>
      </c>
    </row>
    <row r="77" spans="1:24" ht="12.75">
      <c r="A77" s="95">
        <f t="shared" si="40"/>
        <v>3</v>
      </c>
      <c r="B77" s="94">
        <f>(INDEX(BIJ,3,1)*INDEX(SIE,1)*INDEX(TIJ,1,1)+INDEX(BIJ,3,2)*INDEX(SIE,2)*INDEX(TIJ,2,1))/(INDEX(SIE,3)-INDEX(SIE,1))</f>
        <v>0.15986630176798422</v>
      </c>
      <c r="C77" s="94">
        <f>(INDEX(BIJ,3,2)*INDEX(SIE,2)*INDEX(TIJ,2,2))/(INDEX(SIE,3)-INDEX(SIE,2))</f>
        <v>0.5112771528707645</v>
      </c>
      <c r="D77" s="94">
        <v>1</v>
      </c>
      <c r="E77" s="94">
        <v>0</v>
      </c>
      <c r="F77" s="94">
        <v>0</v>
      </c>
      <c r="G77" s="94">
        <v>0</v>
      </c>
      <c r="H77" s="94">
        <v>0</v>
      </c>
      <c r="I77" s="94">
        <v>0</v>
      </c>
      <c r="J77" s="94">
        <v>0</v>
      </c>
      <c r="K77" s="94">
        <v>0</v>
      </c>
      <c r="L77" s="94">
        <v>0</v>
      </c>
      <c r="M77" s="94">
        <v>0</v>
      </c>
      <c r="N77" s="94">
        <v>0</v>
      </c>
      <c r="O77" s="94">
        <v>0</v>
      </c>
      <c r="P77" s="94">
        <v>0</v>
      </c>
      <c r="Q77" s="94">
        <v>0</v>
      </c>
      <c r="R77" s="94">
        <v>0</v>
      </c>
      <c r="S77" s="94">
        <v>0</v>
      </c>
      <c r="T77" s="94">
        <v>0</v>
      </c>
      <c r="U77" s="94">
        <v>0</v>
      </c>
      <c r="W77" s="95">
        <f t="shared" si="41"/>
        <v>3</v>
      </c>
      <c r="X77" s="94">
        <f>Model!$E13</f>
        <v>1.115587467932632</v>
      </c>
    </row>
    <row r="78" spans="1:24" ht="12.75">
      <c r="A78" s="95">
        <f t="shared" si="40"/>
        <v>4</v>
      </c>
      <c r="B78" s="94">
        <f>(INDEX(BIJ,4,1)*INDEX(SIE,1)*INDEX(TIJ,1,1)+INDEX(BIJ,4,2)*INDEX(SIE,2)*INDEX(TIJ,2,1)+INDEX(BIJ,4,3)*INDEX(SIE,3)*INDEX(TIJ,3,1))/(INDEX(SIE,4)-INDEX(SIE,1))</f>
        <v>0.08059291165242596</v>
      </c>
      <c r="C78" s="94">
        <f>(INDEX(BIJ,4,2)*INDEX(SIE,2)*INDEX(TIJ,2,2)+INDEX(BIJ,4,3)*INDEX(SIE,3)*INDEX(TIJ,3,2))/(INDEX(SIE,4)-INDEX(SIE,2))</f>
        <v>0.2853695703054405</v>
      </c>
      <c r="D78" s="94">
        <f>(INDEX(BIJ,4,3)*INDEX(SIE,3)*INDEX(TIJ,3,3))/(INDEX(SIE,4)-INDEX(SIE,3))</f>
        <v>0.8840564524782573</v>
      </c>
      <c r="E78" s="94">
        <v>1</v>
      </c>
      <c r="F78" s="94">
        <v>0</v>
      </c>
      <c r="G78" s="94">
        <v>0</v>
      </c>
      <c r="H78" s="94">
        <v>0</v>
      </c>
      <c r="I78" s="94">
        <v>0</v>
      </c>
      <c r="J78" s="94">
        <v>0</v>
      </c>
      <c r="K78" s="94">
        <v>0</v>
      </c>
      <c r="L78" s="94">
        <v>0</v>
      </c>
      <c r="M78" s="94">
        <v>0</v>
      </c>
      <c r="N78" s="94">
        <v>0</v>
      </c>
      <c r="O78" s="94">
        <v>0</v>
      </c>
      <c r="P78" s="94">
        <v>0</v>
      </c>
      <c r="Q78" s="94">
        <v>0</v>
      </c>
      <c r="R78" s="94">
        <v>0</v>
      </c>
      <c r="S78" s="94">
        <v>0</v>
      </c>
      <c r="T78" s="94">
        <v>0</v>
      </c>
      <c r="U78" s="94">
        <v>0</v>
      </c>
      <c r="W78" s="95">
        <f t="shared" si="41"/>
        <v>4</v>
      </c>
      <c r="X78" s="94">
        <f>Model!$E14</f>
        <v>1.6635588898631666</v>
      </c>
    </row>
    <row r="79" spans="1:24" ht="12.75">
      <c r="A79" s="95">
        <f t="shared" si="40"/>
        <v>5</v>
      </c>
      <c r="B79" s="94">
        <f>(INDEX(BIJ,5,1)*INDEX(SIE,1)*INDEX(TIJ,1,1)+INDEX(BIJ,5,2)*INDEX(SIE,2)*INDEX(TIJ,2,1)+INDEX(BIJ,5,3)*INDEX(SIE,3)*INDEX(TIJ,3,1)+INDEX(BIJ,5,4)*INDEX(SIE,4)*INDEX(TIJ,4,1))/(INDEX(SIE,5)-INDEX(SIE,1))</f>
        <v>0.08055599883602653</v>
      </c>
      <c r="C79" s="94">
        <f>(INDEX(BIJ,5,2)*INDEX(SIE,2)*INDEX(TIJ,2,2)+INDEX(BIJ,5,3)*INDEX(SIE,3)*INDEX(TIJ,3,2)+INDEX(BIJ,5,4)*INDEX(SIE,4)*INDEX(TIJ,4,2))/(INDEX(SIE,5)-INDEX(SIE,2))</f>
        <v>0.3099169276012454</v>
      </c>
      <c r="D79" s="94">
        <f>(INDEX(BIJ,5,3)*INDEX(SIE,3)*INDEX(TIJ,3,3)+INDEX(BIJ,5,4)*INDEX(SIE,4)*INDEX(TIJ,4,3))/(INDEX(SIE,5)-INDEX(SIE,3))</f>
        <v>1.3877731949368868</v>
      </c>
      <c r="E79" s="94">
        <f>(INDEX(BIJ,5,4)*INDEX(SIE,4)*INDEX(TIJ,4,4))/(INDEX(SIE,5)-INDEX(SIE,4))</f>
        <v>6.97081235188318</v>
      </c>
      <c r="F79" s="94">
        <v>1</v>
      </c>
      <c r="G79" s="94">
        <v>0</v>
      </c>
      <c r="H79" s="94">
        <v>0</v>
      </c>
      <c r="I79" s="94">
        <v>0</v>
      </c>
      <c r="J79" s="94">
        <v>0</v>
      </c>
      <c r="K79" s="94">
        <v>0</v>
      </c>
      <c r="L79" s="94">
        <v>0</v>
      </c>
      <c r="M79" s="94">
        <v>0</v>
      </c>
      <c r="N79" s="94">
        <v>0</v>
      </c>
      <c r="O79" s="94">
        <v>0</v>
      </c>
      <c r="P79" s="94">
        <v>0</v>
      </c>
      <c r="Q79" s="94">
        <v>0</v>
      </c>
      <c r="R79" s="94">
        <v>0</v>
      </c>
      <c r="S79" s="94">
        <v>0</v>
      </c>
      <c r="T79" s="94">
        <v>0</v>
      </c>
      <c r="U79" s="94">
        <v>0</v>
      </c>
      <c r="W79" s="95">
        <f t="shared" si="41"/>
        <v>5</v>
      </c>
      <c r="X79" s="94">
        <f>Model!$E15</f>
        <v>1.778396024033559</v>
      </c>
    </row>
    <row r="80" spans="1:24" ht="12.75">
      <c r="A80" s="95">
        <f t="shared" si="40"/>
        <v>6</v>
      </c>
      <c r="B80" s="94">
        <f>(INDEX(BIJ,6,1)*INDEX(SIE,1)*INDEX(TIJ,1,1)+INDEX(BIJ,6,2)*INDEX(SIE,2)*INDEX(TIJ,2,1)+INDEX(BIJ,6,3)*INDEX(SIE,3)*INDEX(TIJ,3,1)+INDEX(BIJ,6,4)*INDEX(SIE,4)*INDEX(TIJ,4,1)+INDEX(BIJ,6,5)*INDEX(SIE,5)*INDEX(TIJ,5,1))/(INDEX(SIE,6)-INDEX(SIE,1))</f>
        <v>0.09445575598219416</v>
      </c>
      <c r="C80" s="94">
        <f>(INDEX(BIJ,6,2)*INDEX(SIE,2)*INDEX(TIJ,2,2)+INDEX(BIJ,6,3)*INDEX(SIE,3)*INDEX(TIJ,3,2)+INDEX(BIJ,6,4)*INDEX(SIE,4)*INDEX(TIJ,4,2)+INDEX(BIJ,6,5)*INDEX(SIE,5)*INDEX(TIJ,5,2))/(INDEX(SIE,6)-INDEX(SIE,2))</f>
        <v>0.42148649335547206</v>
      </c>
      <c r="D80" s="94">
        <f>(INDEX(BIJ,6,3)*INDEX(SIE,3)*INDEX(TIJ,3,3)+INDEX(BIJ,6,4)*INDEX(SIE,4)*INDEX(TIJ,4,3)+INDEX(BIJ,6,5)*INDEX(SIE,5)*INDEX(TIJ,5,3))/(INDEX(SIE,6)-INDEX(SIE,3))</f>
        <v>3.536262820687605</v>
      </c>
      <c r="E80" s="94">
        <f>(INDEX(BIJ,6,4)*INDEX(SIE,4)*INDEX(TIJ,4,4)+INDEX(BIJ,6,5)*INDEX(SIE,5)*INDEX(TIJ,5,4))/(INDEX(SIE,6)-INDEX(SIE,4))</f>
        <v>-53.028423570889416</v>
      </c>
      <c r="F80" s="94">
        <f>(INDEX(BIJ,6,5)*INDEX(SIE,5)*INDEX(TIJ,5,5))/(INDEX(SIE,6)-INDEX(SIE,5))</f>
        <v>-3.685379851028411</v>
      </c>
      <c r="G80" s="94">
        <v>1</v>
      </c>
      <c r="H80" s="94">
        <v>0</v>
      </c>
      <c r="I80" s="94">
        <v>0</v>
      </c>
      <c r="J80" s="94">
        <v>0</v>
      </c>
      <c r="K80" s="94">
        <v>0</v>
      </c>
      <c r="L80" s="94">
        <v>0</v>
      </c>
      <c r="M80" s="94">
        <v>0</v>
      </c>
      <c r="N80" s="94">
        <v>0</v>
      </c>
      <c r="O80" s="94">
        <v>0</v>
      </c>
      <c r="P80" s="94">
        <v>0</v>
      </c>
      <c r="Q80" s="94">
        <v>0</v>
      </c>
      <c r="R80" s="94">
        <v>0</v>
      </c>
      <c r="S80" s="94">
        <v>0</v>
      </c>
      <c r="T80" s="94">
        <v>0</v>
      </c>
      <c r="U80" s="94">
        <v>0</v>
      </c>
      <c r="W80" s="95">
        <f t="shared" si="41"/>
        <v>6</v>
      </c>
      <c r="X80" s="94">
        <f>Model!$E16</f>
        <v>1.545800022598107</v>
      </c>
    </row>
    <row r="81" spans="1:24" ht="12.75">
      <c r="A81" s="95">
        <f t="shared" si="40"/>
        <v>7</v>
      </c>
      <c r="B81" s="94">
        <f>(INDEX(BIJ,7,1)*INDEX(SIE,1)*INDEX(TIJ,1,1)+INDEX(BIJ,7,2)*INDEX(SIE,2)*INDEX(TIJ,2,1)+INDEX(BIJ,7,3)*INDEX(SIE,3)*INDEX(TIJ,3,1)+INDEX(BIJ,7,4)*INDEX(SIE,4)*INDEX(TIJ,4,1)+INDEX(BIJ,7,5)*INDEX(SIE,5)*INDEX(TIJ,5,1)+INDEX(BIJ,7,6)*INDEX(SIE,6)*INDEX(TIJ,6,1))/(INDEX(SIE,7)-INDEX(SIE,1))</f>
        <v>0.12238725554282741</v>
      </c>
      <c r="C81" s="94">
        <f>(INDEX(BIJ,7,2)*INDEX(SIE,2)*INDEX(TIJ,2,2)+INDEX(BIJ,7,3)*INDEX(SIE,3)*INDEX(TIJ,3,2)+INDEX(BIJ,7,4)*INDEX(SIE,4)*INDEX(TIJ,4,2)+INDEX(BIJ,7,5)*INDEX(SIE,5)*INDEX(TIJ,5,2)+INDEX(BIJ,7,6)*INDEX(SIE,6)*INDEX(TIJ,6,2))/(INDEX(SIE,7)-INDEX(SIE,2))</f>
        <v>0.6945512372104152</v>
      </c>
      <c r="D81" s="94">
        <f>(INDEX(BIJ,7,3)*INDEX(SIE,3)*INDEX(TIJ,3,3)+INDEX(BIJ,7,4)*INDEX(SIE,4)*INDEX(TIJ,4,3)+INDEX(BIJ,7,5)*INDEX(SIE,5)*INDEX(TIJ,5,3)+INDEX(BIJ,7,6)*INDEX(SIE,6)*INDEX(TIJ,6,3))/(INDEX(SIE,7)-INDEX(SIE,3))</f>
        <v>26.537923582832576</v>
      </c>
      <c r="E81" s="94">
        <f>(INDEX(BIJ,7,4)*INDEX(SIE,4)*INDEX(TIJ,4,4)+INDEX(BIJ,7,5)*INDEX(SIE,5)*INDEX(TIJ,5,4)+INDEX(BIJ,7,6)*INDEX(SIE,6)*INDEX(TIJ,6,4))/(INDEX(SIE,7)-INDEX(SIE,4))</f>
        <v>83.64051566492026</v>
      </c>
      <c r="F81" s="94">
        <f>(INDEX(BIJ,7,5)*INDEX(SIE,5)*INDEX(TIJ,5,5)+INDEX(BIJ,7,6)*INDEX(SIE,6)*INDEX(TIJ,6,5))/(INDEX(SIE,7)-INDEX(SIE,5))</f>
        <v>4.34713943935746</v>
      </c>
      <c r="G81" s="94">
        <f>(INDEX(BIJ,7,6)*INDEX(SIE,6)*INDEX(TIJ,6,6))/(INDEX(SIE,7)-INDEX(SIE,6))</f>
        <v>-2.2913611398569516</v>
      </c>
      <c r="H81" s="94">
        <v>1</v>
      </c>
      <c r="I81" s="94">
        <v>0</v>
      </c>
      <c r="J81" s="94">
        <v>0</v>
      </c>
      <c r="K81" s="94">
        <v>0</v>
      </c>
      <c r="L81" s="94">
        <v>0</v>
      </c>
      <c r="M81" s="94">
        <v>0</v>
      </c>
      <c r="N81" s="94">
        <v>0</v>
      </c>
      <c r="O81" s="94">
        <v>0</v>
      </c>
      <c r="P81" s="94">
        <v>0</v>
      </c>
      <c r="Q81" s="94">
        <v>0</v>
      </c>
      <c r="R81" s="94">
        <v>0</v>
      </c>
      <c r="S81" s="94">
        <v>0</v>
      </c>
      <c r="T81" s="94">
        <v>0</v>
      </c>
      <c r="U81" s="94">
        <v>0</v>
      </c>
      <c r="W81" s="95">
        <f t="shared" si="41"/>
        <v>7</v>
      </c>
      <c r="X81" s="94">
        <f>Model!$E17</f>
        <v>1.231880371423183</v>
      </c>
    </row>
    <row r="82" spans="1:24" ht="12.75">
      <c r="A82" s="95">
        <f t="shared" si="40"/>
        <v>8</v>
      </c>
      <c r="B82" s="94">
        <f>(INDEX(BIJ,8,1)*INDEX(SIE,1)*INDEX(TIJ,1,1)+INDEX(BIJ,8,2)*INDEX(SIE,2)*INDEX(TIJ,2,1)+INDEX(BIJ,8,3)*INDEX(SIE,3)*INDEX(TIJ,3,1)+INDEX(BIJ,8,4)*INDEX(SIE,4)*INDEX(TIJ,4,1)+INDEX(BIJ,8,5)*INDEX(SIE,5)*INDEX(TIJ,5,1)+INDEX(BIJ,8,6)*INDEX(SIE,6)*INDEX(TIJ,6,1)+INDEX(BIJ,8,7)*INDEX(SIE,7)*INDEX(TIJ,7,1))/(INDEX(SIE,8)-INDEX(SIE,1))</f>
        <v>0.19427713339602815</v>
      </c>
      <c r="C82" s="94">
        <f>(INDEX(BIJ,8,2)*INDEX(SIE,2)*INDEX(TIJ,2,2)+INDEX(BIJ,8,3)*INDEX(SIE,3)*INDEX(TIJ,3,2)+INDEX(BIJ,8,4)*INDEX(SIE,4)*INDEX(TIJ,4,2)+INDEX(BIJ,8,5)*INDEX(SIE,5)*INDEX(TIJ,5,2)+INDEX(BIJ,8,6)*INDEX(SIE,6)*INDEX(TIJ,6,2)+INDEX(BIJ,8,7)*INDEX(SIE,7)*INDEX(TIJ,7,2))/(INDEX(SIE,8)-INDEX(SIE,2))</f>
        <v>1.6487691445855615</v>
      </c>
      <c r="D82" s="94">
        <f>(INDEX(BIJ,8,3)*INDEX(SIE,3)*INDEX(TIJ,3,3)+INDEX(BIJ,8,4)*INDEX(SIE,4)*INDEX(TIJ,4,3)+INDEX(BIJ,8,5)*INDEX(SIE,5)*INDEX(TIJ,5,3)+INDEX(BIJ,8,6)*INDEX(SIE,6)*INDEX(TIJ,6,3)+INDEX(BIJ,8,7)*INDEX(SIE,7)*INDEX(TIJ,7,3))/(INDEX(SIE,8)-INDEX(SIE,3))</f>
        <v>-103.01003263592403</v>
      </c>
      <c r="E82" s="94">
        <f>(INDEX(BIJ,8,4)*INDEX(SIE,4)*INDEX(TIJ,4,4)+INDEX(BIJ,8,5)*INDEX(SIE,5)*INDEX(TIJ,5,4)+INDEX(BIJ,8,6)*INDEX(SIE,6)*INDEX(TIJ,6,4)+INDEX(BIJ,8,7)*INDEX(SIE,7)*INDEX(TIJ,7,4))/(INDEX(SIE,8)-INDEX(SIE,4))</f>
        <v>-52.212774104254045</v>
      </c>
      <c r="F82" s="94">
        <f>(INDEX(BIJ,8,5)*INDEX(SIE,5)*INDEX(TIJ,5,5)+INDEX(BIJ,8,6)*INDEX(SIE,6)*INDEX(TIJ,6,5)+INDEX(BIJ,8,7)*INDEX(SIE,7)*INDEX(TIJ,7,5))/(INDEX(SIE,8)-INDEX(SIE,5))</f>
        <v>-2.1403373664874454</v>
      </c>
      <c r="G82" s="94">
        <f>(INDEX(BIJ,8,6)*INDEX(SIE,6)*INDEX(TIJ,6,6)+INDEX(BIJ,8,7)*INDEX(SIE,7)*INDEX(TIJ,7,6))/(INDEX(SIE,8)-INDEX(SIE,6))</f>
        <v>1.8671548736810555</v>
      </c>
      <c r="H82" s="94">
        <f>(INDEX(BIJ,8,7)*INDEX(SIE,7)*INDEX(TIJ,7,7))/(INDEX(SIE,8)-INDEX(SIE,7))</f>
        <v>-2.1283783262001377</v>
      </c>
      <c r="I82" s="94">
        <v>1</v>
      </c>
      <c r="J82" s="94">
        <v>0</v>
      </c>
      <c r="K82" s="94">
        <v>0</v>
      </c>
      <c r="L82" s="94">
        <v>0</v>
      </c>
      <c r="M82" s="94">
        <v>0</v>
      </c>
      <c r="N82" s="94">
        <v>0</v>
      </c>
      <c r="O82" s="94">
        <v>0</v>
      </c>
      <c r="P82" s="94">
        <v>0</v>
      </c>
      <c r="Q82" s="94">
        <v>0</v>
      </c>
      <c r="R82" s="94">
        <v>0</v>
      </c>
      <c r="S82" s="94">
        <v>0</v>
      </c>
      <c r="T82" s="94">
        <v>0</v>
      </c>
      <c r="U82" s="94">
        <v>0</v>
      </c>
      <c r="W82" s="95">
        <f t="shared" si="41"/>
        <v>8</v>
      </c>
      <c r="X82" s="94">
        <f>Model!$E18</f>
        <v>0.9468333481285959</v>
      </c>
    </row>
    <row r="83" spans="1:24" ht="12.75">
      <c r="A83" s="95">
        <f t="shared" si="40"/>
        <v>9</v>
      </c>
      <c r="B83" s="94">
        <f>(INDEX(BIJ,9,1)*INDEX(SIE,1)*INDEX(TIJ,1,1)+INDEX(BIJ,9,2)*INDEX(SIE,2)*INDEX(TIJ,2,1)+INDEX(BIJ,9,3)*INDEX(SIE,3)*INDEX(TIJ,3,1)+INDEX(BIJ,9,4)*INDEX(SIE,4)*INDEX(TIJ,4,1)+INDEX(BIJ,9,5)*INDEX(SIE,5)*INDEX(TIJ,5,1)+INDEX(BIJ,9,6)*INDEX(SIE,6)*INDEX(TIJ,6,1)+INDEX(BIJ,9,7)*INDEX(SIE,7)*INDEX(TIJ,7,1)+INDEX(BIJ,9,8)*INDEX(SIE,8)*INDEX(TIJ,8,1))/(INDEX(SIE,9)-INDEX(SIE,1))</f>
        <v>0.2984785814802641</v>
      </c>
      <c r="C83" s="94">
        <f>(INDEX(BIJ,9,2)*INDEX(SIE,2)*INDEX(TIJ,2,2)+INDEX(BIJ,9,3)*INDEX(SIE,3)*INDEX(TIJ,3,2)+INDEX(BIJ,9,4)*INDEX(SIE,4)*INDEX(TIJ,4,2)+INDEX(BIJ,9,5)*INDEX(SIE,5)*INDEX(TIJ,5,2)+INDEX(BIJ,9,6)*INDEX(SIE,6)*INDEX(TIJ,6,2)+INDEX(BIJ,9,7)*INDEX(SIE,7)*INDEX(TIJ,7,2)+INDEX(BIJ,9,8)*INDEX(SIE,8)*INDEX(TIJ,8,2))/(INDEX(SIE,9)-INDEX(SIE,2))</f>
        <v>5.8698581670429855</v>
      </c>
      <c r="D83" s="94">
        <f>(INDEX(BIJ,9,3)*INDEX(SIE,3)*INDEX(TIJ,3,3)+INDEX(BIJ,9,4)*INDEX(SIE,4)*INDEX(TIJ,4,3)+INDEX(BIJ,9,5)*INDEX(SIE,5)*INDEX(TIJ,5,3)+INDEX(BIJ,9,6)*INDEX(SIE,6)*INDEX(TIJ,6,3)+INDEX(BIJ,9,7)*INDEX(SIE,7)*INDEX(TIJ,7,3)+INDEX(BIJ,9,8)*INDEX(SIE,8)*INDEX(TIJ,8,3))/(INDEX(SIE,9)-INDEX(SIE,3))</f>
        <v>101.08362411000344</v>
      </c>
      <c r="E83" s="94">
        <f>(INDEX(BIJ,9,4)*INDEX(SIE,4)*INDEX(TIJ,4,4)+INDEX(BIJ,9,5)*INDEX(SIE,5)*INDEX(TIJ,5,4)+INDEX(BIJ,9,6)*INDEX(SIE,6)*INDEX(TIJ,6,4)+INDEX(BIJ,9,7)*INDEX(SIE,7)*INDEX(TIJ,7,4)+INDEX(BIJ,9,8)*INDEX(SIE,8)*INDEX(TIJ,8,4))/(INDEX(SIE,9)-INDEX(SIE,4))</f>
        <v>13.807883842579647</v>
      </c>
      <c r="F83" s="94">
        <f>(INDEX(BIJ,9,5)*INDEX(SIE,5)*INDEX(TIJ,5,5)+INDEX(BIJ,9,6)*INDEX(SIE,6)*INDEX(TIJ,6,5)+INDEX(BIJ,9,7)*INDEX(SIE,7)*INDEX(TIJ,7,5)+INDEX(BIJ,9,8)*INDEX(SIE,8)*INDEX(TIJ,8,5))/(INDEX(SIE,9)-INDEX(SIE,5))</f>
        <v>0.45281371990314084</v>
      </c>
      <c r="G83" s="94">
        <f>(INDEX(BIJ,9,6)*INDEX(SIE,6)*INDEX(TIJ,6,6)+INDEX(BIJ,9,7)*INDEX(SIE,7)*INDEX(TIJ,7,6)+INDEX(BIJ,9,8)*INDEX(SIE,8)*INDEX(TIJ,8,6))/(INDEX(SIE,9)-INDEX(SIE,6))</f>
        <v>-0.6248207472280123</v>
      </c>
      <c r="H83" s="94">
        <f>(INDEX(BIJ,9,7)*INDEX(SIE,7)*INDEX(TIJ,7,7)+INDEX(BIJ,9,8)*INDEX(SIE,8)*INDEX(TIJ,8,7))/(INDEX(SIE,9)-INDEX(SIE,7))</f>
        <v>1.4759385657555242</v>
      </c>
      <c r="I83" s="94">
        <f>(INDEX(BIJ,9,8)*INDEX(SIE,8)*INDEX(TIJ,8,8))/(INDEX(SIE,9)-INDEX(SIE,8))</f>
        <v>-1.947529431254533</v>
      </c>
      <c r="J83" s="94">
        <v>1</v>
      </c>
      <c r="K83" s="94">
        <v>0</v>
      </c>
      <c r="L83" s="94">
        <v>0</v>
      </c>
      <c r="M83" s="94">
        <v>0</v>
      </c>
      <c r="N83" s="94">
        <v>0</v>
      </c>
      <c r="O83" s="94">
        <v>0</v>
      </c>
      <c r="P83" s="94">
        <v>0</v>
      </c>
      <c r="Q83" s="94">
        <v>0</v>
      </c>
      <c r="R83" s="94">
        <v>0</v>
      </c>
      <c r="S83" s="94">
        <v>0</v>
      </c>
      <c r="T83" s="94">
        <v>0</v>
      </c>
      <c r="U83" s="94">
        <v>0</v>
      </c>
      <c r="W83" s="95">
        <f t="shared" si="41"/>
        <v>9</v>
      </c>
      <c r="X83" s="94">
        <f>Model!$E19</f>
        <v>0.720604359781995</v>
      </c>
    </row>
    <row r="84" spans="1:24" ht="12.75">
      <c r="A84" s="95">
        <f t="shared" si="40"/>
        <v>10</v>
      </c>
      <c r="B84" s="94">
        <f>(INDEX(BIJ,10,1)*INDEX(SIE,1)*INDEX(TIJ,1,1)+INDEX(BIJ,10,2)*INDEX(SIE,2)*INDEX(TIJ,2,1)+INDEX(BIJ,10,3)*INDEX(SIE,3)*INDEX(TIJ,3,1)+INDEX(BIJ,10,4)*INDEX(SIE,4)*INDEX(TIJ,4,1)+INDEX(BIJ,10,5)*INDEX(SIE,5)*INDEX(TIJ,5,1)+INDEX(BIJ,10,6)*INDEX(SIE,6)*INDEX(TIJ,6,1)+INDEX(BIJ,10,7)*INDEX(SIE,7)*INDEX(TIJ,7,1)+INDEX(BIJ,10,8)*INDEX(SIE,8)*INDEX(TIJ,8,1)+INDEX(BIJ,10,9)*INDEX(SIE,9)*INDEX(TIJ,9,1))/(INDEX(SIE,10)-INDEX(SIE,1))</f>
        <v>0.5600771441150322</v>
      </c>
      <c r="C84" s="94">
        <f>(INDEX(BIJ,10,2)*INDEX(SIE,2)*INDEX(TIJ,2,2)+INDEX(BIJ,10,3)*INDEX(SIE,3)*INDEX(TIJ,3,2)+INDEX(BIJ,10,4)*INDEX(SIE,4)*INDEX(TIJ,4,2)+INDEX(BIJ,10,5)*INDEX(SIE,5)*INDEX(TIJ,5,2)+INDEX(BIJ,10,6)*INDEX(SIE,6)*INDEX(TIJ,6,2)+INDEX(BIJ,10,7)*INDEX(SIE,7)*INDEX(TIJ,7,2)+INDEX(BIJ,10,8)*INDEX(SIE,8)*INDEX(TIJ,8,2)+INDEX(BIJ,10,9)*INDEX(SIE,9)*INDEX(TIJ,9,2))/(INDEX(SIE,10)-INDEX(SIE,2))</f>
        <v>-595.5102429091869</v>
      </c>
      <c r="D84" s="94">
        <f>(INDEX(BIJ,10,3)*INDEX(SIE,3)*INDEX(TIJ,3,3)+INDEX(BIJ,10,4)*INDEX(SIE,4)*INDEX(TIJ,4,3)+INDEX(BIJ,10,5)*INDEX(SIE,5)*INDEX(TIJ,5,3)+INDEX(BIJ,10,6)*INDEX(SIE,6)*INDEX(TIJ,6,3)+INDEX(BIJ,10,7)*INDEX(SIE,7)*INDEX(TIJ,7,3)+INDEX(BIJ,10,8)*INDEX(SIE,8)*INDEX(TIJ,8,3)+INDEX(BIJ,10,9)*INDEX(SIE,9)*INDEX(TIJ,9,3))/(INDEX(SIE,10)-INDEX(SIE,3))</f>
        <v>-37.66433437021798</v>
      </c>
      <c r="E84" s="94">
        <f>(INDEX(BIJ,10,4)*INDEX(SIE,4)*INDEX(TIJ,4,4)+INDEX(BIJ,10,5)*INDEX(SIE,5)*INDEX(TIJ,5,4)+INDEX(BIJ,10,6)*INDEX(SIE,6)*INDEX(TIJ,6,4)+INDEX(BIJ,10,7)*INDEX(SIE,7)*INDEX(TIJ,7,4)+INDEX(BIJ,10,8)*INDEX(SIE,8)*INDEX(TIJ,8,4)+INDEX(BIJ,10,9)*INDEX(SIE,9)*INDEX(TIJ,9,4))/(INDEX(SIE,10)-INDEX(SIE,4))</f>
        <v>-0.5526819935466024</v>
      </c>
      <c r="F84" s="94">
        <f>(INDEX(BIJ,10,5)*INDEX(SIE,5)*INDEX(TIJ,5,5)+INDEX(BIJ,10,6)*INDEX(SIE,6)*INDEX(TIJ,6,5)+INDEX(BIJ,10,7)*INDEX(SIE,7)*INDEX(TIJ,7,5)+INDEX(BIJ,10,8)*INDEX(SIE,8)*INDEX(TIJ,8,5)+INDEX(BIJ,10,9)*INDEX(SIE,9)*INDEX(TIJ,9,5))/(INDEX(SIE,10)-INDEX(SIE,5))</f>
        <v>-0.0012835642205047473</v>
      </c>
      <c r="G84" s="94">
        <f>(INDEX(BIJ,10,6)*INDEX(SIE,6)*INDEX(TIJ,6,6)+INDEX(BIJ,10,7)*INDEX(SIE,7)*INDEX(TIJ,7,6)+INDEX(BIJ,10,8)*INDEX(SIE,8)*INDEX(TIJ,8,6)+INDEX(BIJ,10,9)*INDEX(SIE,9)*INDEX(TIJ,9,6))/(INDEX(SIE,10)-INDEX(SIE,6))</f>
        <v>0.05253158871232572</v>
      </c>
      <c r="H84" s="94">
        <f>(INDEX(BIJ,10,7)*INDEX(SIE,7)*INDEX(TIJ,7,7)+INDEX(BIJ,10,8)*INDEX(SIE,8)*INDEX(TIJ,8,7)+INDEX(BIJ,10,9)*INDEX(SIE,9)*INDEX(TIJ,9,7))/(INDEX(SIE,10)-INDEX(SIE,7))</f>
        <v>-0.38286402606739867</v>
      </c>
      <c r="I84" s="94">
        <f>(INDEX(BIJ,10,8)*INDEX(SIE,8)*INDEX(TIJ,8,8)+INDEX(BIJ,10,9)*INDEX(SIE,9)*INDEX(TIJ,9,8))/(INDEX(SIE,10)-INDEX(SIE,8))</f>
        <v>1.2936115824546817</v>
      </c>
      <c r="J84" s="94">
        <f>(INDEX(BIJ,10,9)*INDEX(SIE,9)*INDEX(TIJ,9,9))/(INDEX(SIE,10)-INDEX(SIE,9))</f>
        <v>-2.03559915277026</v>
      </c>
      <c r="K84" s="94">
        <v>1</v>
      </c>
      <c r="L84" s="94">
        <v>0</v>
      </c>
      <c r="M84" s="94">
        <v>0</v>
      </c>
      <c r="N84" s="94">
        <v>0</v>
      </c>
      <c r="O84" s="94">
        <v>0</v>
      </c>
      <c r="P84" s="94">
        <v>0</v>
      </c>
      <c r="Q84" s="94">
        <v>0</v>
      </c>
      <c r="R84" s="94">
        <v>0</v>
      </c>
      <c r="S84" s="94">
        <v>0</v>
      </c>
      <c r="T84" s="94">
        <v>0</v>
      </c>
      <c r="U84" s="94">
        <v>0</v>
      </c>
      <c r="W84" s="95">
        <f t="shared" si="41"/>
        <v>10</v>
      </c>
      <c r="X84" s="94">
        <f>Model!$E20</f>
        <v>0.5504841473052813</v>
      </c>
    </row>
    <row r="85" spans="1:24" ht="12.75">
      <c r="A85" s="95">
        <f t="shared" si="40"/>
        <v>11</v>
      </c>
      <c r="B85" s="94">
        <f>(INDEX(BIJ,11,1)*INDEX(SIE,1)*INDEX(TIJ,1,1)+INDEX(BIJ,11,2)*INDEX(SIE,2)*INDEX(TIJ,2,1)+INDEX(BIJ,11,3)*INDEX(SIE,3)*INDEX(TIJ,3,1)+INDEX(BIJ,11,4)*INDEX(SIE,4)*INDEX(TIJ,4,1)+INDEX(BIJ,11,5)*INDEX(SIE,5)*INDEX(TIJ,5,1)+INDEX(BIJ,11,6)*INDEX(SIE,6)*INDEX(TIJ,6,1)+INDEX(BIJ,11,7)*INDEX(SIE,7)*INDEX(TIJ,7,1)+INDEX(BIJ,11,8)*INDEX(SIE,8)*INDEX(TIJ,8,1)+INDEX(BIJ,11,9)*INDEX(SIE,9)*INDEX(TIJ,9,1)+INDEX(BIJ,11,10)*INDEX(SIE,10)*INDEX(TIJ,10,1))/(INDEX(SIE,11)-INDEX(SIE,1))</f>
        <v>1.2540475706244953</v>
      </c>
      <c r="C85" s="94">
        <f>(INDEX(BIJ,11,2)*INDEX(SIE,2)*INDEX(TIJ,2,2)+INDEX(BIJ,11,3)*INDEX(SIE,3)*INDEX(TIJ,3,2)+INDEX(BIJ,11,4)*INDEX(SIE,4)*INDEX(TIJ,4,2)+INDEX(BIJ,11,5)*INDEX(SIE,5)*INDEX(TIJ,5,2)+INDEX(BIJ,11,6)*INDEX(SIE,6)*INDEX(TIJ,6,2)+INDEX(BIJ,11,7)*INDEX(SIE,7)*INDEX(TIJ,7,2)+INDEX(BIJ,11,8)*INDEX(SIE,8)*INDEX(TIJ,8,2)+INDEX(BIJ,11,9)*INDEX(SIE,9)*INDEX(TIJ,9,2)+INDEX(BIJ,11,10)*INDEX(SIE,10)*INDEX(TIJ,10,2))/(INDEX(SIE,11)-INDEX(SIE,2))</f>
        <v>1134.9302101298413</v>
      </c>
      <c r="D85" s="94">
        <f>(INDEX(BIJ,11,3)*INDEX(SIE,3)*INDEX(TIJ,3,3)+INDEX(BIJ,11,4)*INDEX(SIE,4)*INDEX(TIJ,4,3)+INDEX(BIJ,11,5)*INDEX(SIE,5)*INDEX(TIJ,5,3)+INDEX(BIJ,11,6)*INDEX(SIE,6)*INDEX(TIJ,6,3)+INDEX(BIJ,11,7)*INDEX(SIE,7)*INDEX(TIJ,7,3)+INDEX(BIJ,11,8)*INDEX(SIE,8)*INDEX(TIJ,8,3)+INDEX(BIJ,11,9)*INDEX(SIE,9)*INDEX(TIJ,9,3)+INDEX(BIJ,11,10)*INDEX(SIE,10)*INDEX(TIJ,10,3))/(INDEX(SIE,11)-INDEX(SIE,3))</f>
        <v>5.542797880599983</v>
      </c>
      <c r="E85" s="94">
        <f>(INDEX(BIJ,11,4)*INDEX(SIE,4)*INDEX(TIJ,4,4)+INDEX(BIJ,11,5)*INDEX(SIE,5)*INDEX(TIJ,5,4)+INDEX(BIJ,11,6)*INDEX(SIE,6)*INDEX(TIJ,6,4)+INDEX(BIJ,11,7)*INDEX(SIE,7)*INDEX(TIJ,7,4)+INDEX(BIJ,11,8)*INDEX(SIE,8)*INDEX(TIJ,8,4)+INDEX(BIJ,11,9)*INDEX(SIE,9)*INDEX(TIJ,9,4)+INDEX(BIJ,11,10)*INDEX(SIE,10)*INDEX(TIJ,10,4))/(INDEX(SIE,11)-INDEX(SIE,4))</f>
        <v>0.04329171647051117</v>
      </c>
      <c r="F85" s="94">
        <f>(INDEX(BIJ,11,5)*INDEX(SIE,5)*INDEX(TIJ,5,5)+INDEX(BIJ,11,6)*INDEX(SIE,6)*INDEX(TIJ,6,5)+INDEX(BIJ,11,7)*INDEX(SIE,7)*INDEX(TIJ,7,5)+INDEX(BIJ,11,8)*INDEX(SIE,8)*INDEX(TIJ,8,5)+INDEX(BIJ,11,9)*INDEX(SIE,9)*INDEX(TIJ,9,5)+INDEX(BIJ,11,10)*INDEX(SIE,10)*INDEX(TIJ,10,5))/(INDEX(SIE,11)-INDEX(SIE,5))</f>
        <v>0.004043383614266367</v>
      </c>
      <c r="G85" s="94">
        <f>(INDEX(BIJ,11,6)*INDEX(SIE,6)*INDEX(TIJ,6,6)+INDEX(BIJ,11,7)*INDEX(SIE,7)*INDEX(TIJ,7,6)+INDEX(BIJ,11,8)*INDEX(SIE,8)*INDEX(TIJ,8,6)+INDEX(BIJ,11,9)*INDEX(SIE,9)*INDEX(TIJ,9,6)+INDEX(BIJ,11,10)*INDEX(SIE,10)*INDEX(TIJ,10,6))/(INDEX(SIE,11)-INDEX(SIE,6))</f>
        <v>-0.00015929672985510475</v>
      </c>
      <c r="H85" s="94">
        <f>(INDEX(BIJ,11,7)*INDEX(SIE,7)*INDEX(TIJ,7,7)+INDEX(BIJ,11,8)*INDEX(SIE,8)*INDEX(TIJ,8,7)+INDEX(BIJ,11,9)*INDEX(SIE,9)*INDEX(TIJ,9,7)+INDEX(BIJ,11,10)*INDEX(SIE,10)*INDEX(TIJ,10,7))/(INDEX(SIE,11)-INDEX(SIE,7))</f>
        <v>0.03299409929797655</v>
      </c>
      <c r="I85" s="94">
        <f>(INDEX(BIJ,11,8)*INDEX(SIE,8)*INDEX(TIJ,8,8)+INDEX(BIJ,11,9)*INDEX(SIE,9)*INDEX(TIJ,9,8)+INDEX(BIJ,11,10)*INDEX(SIE,10)*INDEX(TIJ,10,8))/(INDEX(SIE,11)-INDEX(SIE,8))</f>
        <v>-0.3565069200726104</v>
      </c>
      <c r="J85" s="94">
        <f>(INDEX(BIJ,11,9)*INDEX(SIE,9)*INDEX(TIJ,9,9)+INDEX(BIJ,11,10)*INDEX(SIE,10)*INDEX(TIJ,10,9))/(INDEX(SIE,11)-INDEX(SIE,9))</f>
        <v>1.3847958044371658</v>
      </c>
      <c r="K85" s="94">
        <f>(INDEX(BIJ,11,10)*INDEX(SIE,10)*INDEX(TIJ,10,10))/(INDEX(SIE,11)-INDEX(SIE,10))</f>
        <v>-1.9765497556528933</v>
      </c>
      <c r="L85" s="94">
        <v>1</v>
      </c>
      <c r="M85" s="94">
        <v>0</v>
      </c>
      <c r="N85" s="94">
        <v>0</v>
      </c>
      <c r="O85" s="94">
        <v>0</v>
      </c>
      <c r="P85" s="94">
        <v>0</v>
      </c>
      <c r="Q85" s="94">
        <v>0</v>
      </c>
      <c r="R85" s="94">
        <v>0</v>
      </c>
      <c r="S85" s="94">
        <v>0</v>
      </c>
      <c r="T85" s="94">
        <v>0</v>
      </c>
      <c r="U85" s="94">
        <v>0</v>
      </c>
      <c r="W85" s="95">
        <f t="shared" si="41"/>
        <v>11</v>
      </c>
      <c r="X85" s="94">
        <f>Model!$E21</f>
        <v>0.4173500573255341</v>
      </c>
    </row>
    <row r="86" spans="1:24" ht="12.75">
      <c r="A86" s="95">
        <f t="shared" si="40"/>
        <v>12</v>
      </c>
      <c r="B86" s="94">
        <f>(INDEX(BIJ,12,1)*INDEX(SIE,1)*INDEX(TIJ,1,1)+INDEX(BIJ,12,2)*INDEX(SIE,2)*INDEX(TIJ,2,1)+INDEX(BIJ,12,3)*INDEX(SIE,3)*INDEX(TIJ,3,1)+INDEX(BIJ,12,4)*INDEX(SIE,4)*INDEX(TIJ,4,1)+INDEX(BIJ,12,5)*INDEX(SIE,5)*INDEX(TIJ,5,1)+INDEX(BIJ,12,6)*INDEX(SIE,6)*INDEX(TIJ,6,1)+INDEX(BIJ,12,7)*INDEX(SIE,7)*INDEX(TIJ,7,1)+INDEX(BIJ,12,8)*INDEX(SIE,8)*INDEX(TIJ,8,1)+INDEX(BIJ,12,9)*INDEX(SIE,9)*INDEX(TIJ,9,1)+INDEX(BIJ,12,10)*INDEX(SIE,10)*INDEX(TIJ,10,1)+INDEX(BIJ,12,11)*INDEX(SIE,11)*INDEX(TIJ,11,1))/(INDEX(SIE,12)-INDEX(SIE,1))</f>
        <v>4.379320249938429</v>
      </c>
      <c r="C86" s="94">
        <f>(INDEX(BIJ,12,2)*INDEX(SIE,2)*INDEX(TIJ,2,2)+INDEX(BIJ,12,3)*INDEX(SIE,3)*INDEX(TIJ,3,2)+INDEX(BIJ,12,4)*INDEX(SIE,4)*INDEX(TIJ,4,2)+INDEX(BIJ,12,5)*INDEX(SIE,5)*INDEX(TIJ,5,2)+INDEX(BIJ,12,6)*INDEX(SIE,6)*INDEX(TIJ,6,2)+INDEX(BIJ,12,7)*INDEX(SIE,7)*INDEX(TIJ,7,2)+INDEX(BIJ,12,8)*INDEX(SIE,8)*INDEX(TIJ,8,2)+INDEX(BIJ,12,9)*INDEX(SIE,9)*INDEX(TIJ,9,2)+INDEX(BIJ,12,10)*INDEX(SIE,10)*INDEX(TIJ,10,2)+INDEX(BIJ,12,11)*INDEX(SIE,11)*INDEX(TIJ,11,2))/(INDEX(SIE,12)-INDEX(SIE,2))</f>
        <v>-732.9395973223537</v>
      </c>
      <c r="D86" s="94">
        <f>(INDEX(BIJ,12,3)*INDEX(SIE,3)*INDEX(TIJ,3,3)+INDEX(BIJ,12,4)*INDEX(SIE,4)*INDEX(TIJ,4,3)+INDEX(BIJ,12,5)*INDEX(SIE,5)*INDEX(TIJ,5,3)+INDEX(BIJ,12,6)*INDEX(SIE,6)*INDEX(TIJ,6,3)+INDEX(BIJ,12,7)*INDEX(SIE,7)*INDEX(TIJ,7,3)+INDEX(BIJ,12,8)*INDEX(SIE,8)*INDEX(TIJ,8,3)+INDEX(BIJ,12,9)*INDEX(SIE,9)*INDEX(TIJ,9,3)+INDEX(BIJ,12,10)*INDEX(SIE,10)*INDEX(TIJ,10,3)+INDEX(BIJ,12,11)*INDEX(SIE,11)*INDEX(TIJ,11,3))/(INDEX(SIE,12)-INDEX(SIE,3))</f>
        <v>0.09618857318762819</v>
      </c>
      <c r="E86" s="94">
        <f>(INDEX(BIJ,12,4)*INDEX(SIE,4)*INDEX(TIJ,4,4)+INDEX(BIJ,12,5)*INDEX(SIE,5)*INDEX(TIJ,5,4)+INDEX(BIJ,12,6)*INDEX(SIE,6)*INDEX(TIJ,6,4)+INDEX(BIJ,12,7)*INDEX(SIE,7)*INDEX(TIJ,7,4)+INDEX(BIJ,12,8)*INDEX(SIE,8)*INDEX(TIJ,8,4)+INDEX(BIJ,12,9)*INDEX(SIE,9)*INDEX(TIJ,9,4)+INDEX(BIJ,12,10)*INDEX(SIE,10)*INDEX(TIJ,10,4)+INDEX(BIJ,12,11)*INDEX(SIE,11)*INDEX(TIJ,11,4))/(INDEX(SIE,12)-INDEX(SIE,4))</f>
        <v>0.051513251399981246</v>
      </c>
      <c r="F86" s="94">
        <f>(INDEX(BIJ,12,5)*INDEX(SIE,5)*INDEX(TIJ,5,5)+INDEX(BIJ,12,6)*INDEX(SIE,6)*INDEX(TIJ,6,5)+INDEX(BIJ,12,7)*INDEX(SIE,7)*INDEX(TIJ,7,5)+INDEX(BIJ,12,8)*INDEX(SIE,8)*INDEX(TIJ,8,5)+INDEX(BIJ,12,9)*INDEX(SIE,9)*INDEX(TIJ,9,5)+INDEX(BIJ,12,10)*INDEX(SIE,10)*INDEX(TIJ,10,5)+INDEX(BIJ,12,11)*INDEX(SIE,11)*INDEX(TIJ,11,5))/(INDEX(SIE,12)-INDEX(SIE,5))</f>
        <v>0.0036554670292066947</v>
      </c>
      <c r="G86" s="94">
        <f>(INDEX(BIJ,12,6)*INDEX(SIE,6)*INDEX(TIJ,6,6)+INDEX(BIJ,12,7)*INDEX(SIE,7)*INDEX(TIJ,7,6)+INDEX(BIJ,12,8)*INDEX(SIE,8)*INDEX(TIJ,8,6)+INDEX(BIJ,12,9)*INDEX(SIE,9)*INDEX(TIJ,9,6)+INDEX(BIJ,12,10)*INDEX(SIE,10)*INDEX(TIJ,10,6)+INDEX(BIJ,12,11)*INDEX(SIE,11)*INDEX(TIJ,11,6))/(INDEX(SIE,12)-INDEX(SIE,6))</f>
        <v>-0.0005032831455841521</v>
      </c>
      <c r="H86" s="94">
        <f>(INDEX(BIJ,12,7)*INDEX(SIE,7)*INDEX(TIJ,7,7)+INDEX(BIJ,12,8)*INDEX(SIE,8)*INDEX(TIJ,8,7)+INDEX(BIJ,12,9)*INDEX(SIE,9)*INDEX(TIJ,9,7)+INDEX(BIJ,12,10)*INDEX(SIE,10)*INDEX(TIJ,10,7)+INDEX(BIJ,12,11)*INDEX(SIE,11)*INDEX(TIJ,11,7))/(INDEX(SIE,12)-INDEX(SIE,7))</f>
        <v>0.0011630135855763223</v>
      </c>
      <c r="I86" s="94">
        <f>(INDEX(BIJ,12,8)*INDEX(SIE,8)*INDEX(TIJ,8,8)+INDEX(BIJ,12,9)*INDEX(SIE,9)*INDEX(TIJ,9,8)+INDEX(BIJ,12,10)*INDEX(SIE,10)*INDEX(TIJ,10,8)+INDEX(BIJ,12,11)*INDEX(SIE,11)*INDEX(TIJ,11,8))/(INDEX(SIE,12)-INDEX(SIE,8))</f>
        <v>0.023705444059092085</v>
      </c>
      <c r="J86" s="94">
        <f>(INDEX(BIJ,12,9)*INDEX(SIE,9)*INDEX(TIJ,9,9)+INDEX(BIJ,12,10)*INDEX(SIE,10)*INDEX(TIJ,10,9)+INDEX(BIJ,12,11)*INDEX(SIE,11)*INDEX(TIJ,11,9))/(INDEX(SIE,12)-INDEX(SIE,9))</f>
        <v>-0.37078964307891293</v>
      </c>
      <c r="K86" s="94">
        <f>(INDEX(BIJ,12,10)*INDEX(SIE,10)*INDEX(TIJ,10,10)+INDEX(BIJ,12,11)*INDEX(SIE,11)*INDEX(TIJ,11,10))/(INDEX(SIE,12)-INDEX(SIE,10))</f>
        <v>1.3095136892462738</v>
      </c>
      <c r="L86" s="94">
        <f>(INDEX(BIJ,12,11)*INDEX(SIE,11)*INDEX(TIJ,11,11))/(INDEX(SIE,12)-INDEX(SIE,11))</f>
        <v>-1.9853530983508778</v>
      </c>
      <c r="M86" s="94">
        <v>1</v>
      </c>
      <c r="N86" s="94">
        <v>0</v>
      </c>
      <c r="O86" s="94">
        <v>0</v>
      </c>
      <c r="P86" s="94">
        <v>0</v>
      </c>
      <c r="Q86" s="94">
        <v>0</v>
      </c>
      <c r="R86" s="94">
        <v>0</v>
      </c>
      <c r="S86" s="94">
        <v>0</v>
      </c>
      <c r="T86" s="94">
        <v>0</v>
      </c>
      <c r="U86" s="94">
        <v>0</v>
      </c>
      <c r="W86" s="95">
        <f t="shared" si="41"/>
        <v>12</v>
      </c>
      <c r="X86" s="94">
        <f>Model!$E22</f>
        <v>0.31632851096233866</v>
      </c>
    </row>
    <row r="87" spans="1:24" ht="12.75">
      <c r="A87" s="95">
        <f t="shared" si="40"/>
        <v>13</v>
      </c>
      <c r="B87" s="94">
        <f>(INDEX(BIJ,13,1)*INDEX(SIE,1)*INDEX(TIJ,1,1)+INDEX(BIJ,13,2)*INDEX(SIE,2)*INDEX(TIJ,2,1)+INDEX(BIJ,13,3)*INDEX(SIE,3)*INDEX(TIJ,3,1)+INDEX(BIJ,13,4)*INDEX(SIE,4)*INDEX(TIJ,4,1)+INDEX(BIJ,13,5)*INDEX(SIE,5)*INDEX(TIJ,5,1)+INDEX(BIJ,13,6)*INDEX(SIE,6)*INDEX(TIJ,6,1)+INDEX(BIJ,13,7)*INDEX(SIE,7)*INDEX(TIJ,7,1)+INDEX(BIJ,13,8)*INDEX(SIE,8)*INDEX(TIJ,8,1)+INDEX(BIJ,13,9)*INDEX(SIE,9)*INDEX(TIJ,9,1)+INDEX(BIJ,13,10)*INDEX(SIE,10)*INDEX(TIJ,10,1)+INDEX(BIJ,13,11)*INDEX(SIE,11)*INDEX(TIJ,11,1)+INDEX(BIJ,13,12)*INDEX(SIE,12)*INDEX(TIJ,12,1))/(INDEX(SIE,13)-INDEX(SIE,1))</f>
        <v>205.13211340856006</v>
      </c>
      <c r="C87" s="94">
        <f>(INDEX(BIJ,13,2)*INDEX(SIE,2)*INDEX(TIJ,2,2)+INDEX(BIJ,13,3)*INDEX(SIE,3)*INDEX(TIJ,3,2)+INDEX(BIJ,13,4)*INDEX(SIE,4)*INDEX(TIJ,4,2)+INDEX(BIJ,13,5)*INDEX(SIE,5)*INDEX(TIJ,5,2)+INDEX(BIJ,13,6)*INDEX(SIE,6)*INDEX(TIJ,6,2)+INDEX(BIJ,13,7)*INDEX(SIE,7)*INDEX(TIJ,7,2)+INDEX(BIJ,13,8)*INDEX(SIE,8)*INDEX(TIJ,8,2)+INDEX(BIJ,13,9)*INDEX(SIE,9)*INDEX(TIJ,9,2)+INDEX(BIJ,13,10)*INDEX(SIE,10)*INDEX(TIJ,10,2)+INDEX(BIJ,13,11)*INDEX(SIE,11)*INDEX(TIJ,11,2)+INDEX(BIJ,13,12)*INDEX(SIE,12)*INDEX(TIJ,12,2))/(INDEX(SIE,13)-INDEX(SIE,2))</f>
        <v>188.60696974514727</v>
      </c>
      <c r="D87" s="94">
        <f>(INDEX(BIJ,13,3)*INDEX(SIE,3)*INDEX(TIJ,3,3)+INDEX(BIJ,13,4)*INDEX(SIE,4)*INDEX(TIJ,4,3)+INDEX(BIJ,13,5)*INDEX(SIE,5)*INDEX(TIJ,5,3)+INDEX(BIJ,13,6)*INDEX(SIE,6)*INDEX(TIJ,6,3)+INDEX(BIJ,13,7)*INDEX(SIE,7)*INDEX(TIJ,7,3)+INDEX(BIJ,13,8)*INDEX(SIE,8)*INDEX(TIJ,8,3)+INDEX(BIJ,13,9)*INDEX(SIE,9)*INDEX(TIJ,9,3)+INDEX(BIJ,13,10)*INDEX(SIE,10)*INDEX(TIJ,10,3)+INDEX(BIJ,13,11)*INDEX(SIE,11)*INDEX(TIJ,11,3)+INDEX(BIJ,13,12)*INDEX(SIE,12)*INDEX(TIJ,12,3))/(INDEX(SIE,13)-INDEX(SIE,3))</f>
        <v>0.09586619653467995</v>
      </c>
      <c r="E87" s="94">
        <f>(INDEX(BIJ,13,4)*INDEX(SIE,4)*INDEX(TIJ,4,4)+INDEX(BIJ,13,5)*INDEX(SIE,5)*INDEX(TIJ,5,4)+INDEX(BIJ,13,6)*INDEX(SIE,6)*INDEX(TIJ,6,4)+INDEX(BIJ,13,7)*INDEX(SIE,7)*INDEX(TIJ,7,4)+INDEX(BIJ,13,8)*INDEX(SIE,8)*INDEX(TIJ,8,4)+INDEX(BIJ,13,9)*INDEX(SIE,9)*INDEX(TIJ,9,4)+INDEX(BIJ,13,10)*INDEX(SIE,10)*INDEX(TIJ,10,4)+INDEX(BIJ,13,11)*INDEX(SIE,11)*INDEX(TIJ,11,4)+INDEX(BIJ,13,12)*INDEX(SIE,12)*INDEX(TIJ,12,4))/(INDEX(SIE,13)-INDEX(SIE,4))</f>
        <v>0.044238031002648004</v>
      </c>
      <c r="F87" s="94">
        <f>(INDEX(BIJ,13,5)*INDEX(SIE,5)*INDEX(TIJ,5,5)+INDEX(BIJ,13,6)*INDEX(SIE,6)*INDEX(TIJ,6,5)+INDEX(BIJ,13,7)*INDEX(SIE,7)*INDEX(TIJ,7,5)+INDEX(BIJ,13,8)*INDEX(SIE,8)*INDEX(TIJ,8,5)+INDEX(BIJ,13,9)*INDEX(SIE,9)*INDEX(TIJ,9,5)+INDEX(BIJ,13,10)*INDEX(SIE,10)*INDEX(TIJ,10,5)+INDEX(BIJ,13,11)*INDEX(SIE,11)*INDEX(TIJ,11,5)+INDEX(BIJ,13,12)*INDEX(SIE,12)*INDEX(TIJ,12,5))/(INDEX(SIE,13)-INDEX(SIE,5))</f>
        <v>0.0030662116885300872</v>
      </c>
      <c r="G87" s="94">
        <f>(INDEX(BIJ,13,6)*INDEX(SIE,6)*INDEX(TIJ,6,6)+INDEX(BIJ,13,7)*INDEX(SIE,7)*INDEX(TIJ,7,6)+INDEX(BIJ,13,8)*INDEX(SIE,8)*INDEX(TIJ,8,6)+INDEX(BIJ,13,9)*INDEX(SIE,9)*INDEX(TIJ,9,6)+INDEX(BIJ,13,10)*INDEX(SIE,10)*INDEX(TIJ,10,6)+INDEX(BIJ,13,11)*INDEX(SIE,11)*INDEX(TIJ,11,6)+INDEX(BIJ,13,12)*INDEX(SIE,12)*INDEX(TIJ,12,6))/(INDEX(SIE,13)-INDEX(SIE,6))</f>
        <v>-0.00044777023048215463</v>
      </c>
      <c r="H87" s="94">
        <f>(INDEX(BIJ,13,7)*INDEX(SIE,7)*INDEX(TIJ,7,7)+INDEX(BIJ,13,8)*INDEX(SIE,8)*INDEX(TIJ,8,7)+INDEX(BIJ,13,9)*INDEX(SIE,9)*INDEX(TIJ,9,7)+INDEX(BIJ,13,10)*INDEX(SIE,10)*INDEX(TIJ,10,7)+INDEX(BIJ,13,11)*INDEX(SIE,11)*INDEX(TIJ,11,7)+INDEX(BIJ,13,12)*INDEX(SIE,12)*INDEX(TIJ,12,7))/(INDEX(SIE,13)-INDEX(SIE,7))</f>
        <v>0.00025632875311154497</v>
      </c>
      <c r="I87" s="94">
        <f>(INDEX(BIJ,13,8)*INDEX(SIE,8)*INDEX(TIJ,8,8)+INDEX(BIJ,13,9)*INDEX(SIE,9)*INDEX(TIJ,9,8)+INDEX(BIJ,13,10)*INDEX(SIE,10)*INDEX(TIJ,10,8)+INDEX(BIJ,13,11)*INDEX(SIE,11)*INDEX(TIJ,11,8)+INDEX(BIJ,13,12)*INDEX(SIE,12)*INDEX(TIJ,12,8))/(INDEX(SIE,13)-INDEX(SIE,8))</f>
        <v>-0.0015010888433561918</v>
      </c>
      <c r="J87" s="94">
        <f>(INDEX(BIJ,13,9)*INDEX(SIE,9)*INDEX(TIJ,9,9)+INDEX(BIJ,13,10)*INDEX(SIE,10)*INDEX(TIJ,10,9)+INDEX(BIJ,13,11)*INDEX(SIE,11)*INDEX(TIJ,11,9)+INDEX(BIJ,13,12)*INDEX(SIE,12)*INDEX(TIJ,12,9))/(INDEX(SIE,13)-INDEX(SIE,9))</f>
        <v>0.027040702434944386</v>
      </c>
      <c r="K87" s="94">
        <f>(INDEX(BIJ,13,10)*INDEX(SIE,10)*INDEX(TIJ,10,10)+INDEX(BIJ,13,11)*INDEX(SIE,11)*INDEX(TIJ,11,10)+INDEX(BIJ,13,12)*INDEX(SIE,12)*INDEX(TIJ,12,10))/(INDEX(SIE,13)-INDEX(SIE,10))</f>
        <v>-0.3459124586832233</v>
      </c>
      <c r="L87" s="94">
        <f>(INDEX(BIJ,13,11)*INDEX(SIE,11)*INDEX(TIJ,11,11)+INDEX(BIJ,13,12)*INDEX(SIE,12)*INDEX(TIJ,12,11))/(INDEX(SIE,13)-INDEX(SIE,11))</f>
        <v>1.3157679397004152</v>
      </c>
      <c r="M87" s="94">
        <f>(INDEX(BIJ,13,12)*INDEX(SIE,12)*INDEX(TIJ,12,12))/(INDEX(SIE,13)-INDEX(SIE,12))</f>
        <v>-1.975682197483221</v>
      </c>
      <c r="N87" s="94">
        <v>1</v>
      </c>
      <c r="O87" s="94">
        <v>0</v>
      </c>
      <c r="P87" s="94">
        <v>0</v>
      </c>
      <c r="Q87" s="94">
        <v>0</v>
      </c>
      <c r="R87" s="94">
        <v>0</v>
      </c>
      <c r="S87" s="94">
        <v>0</v>
      </c>
      <c r="T87" s="94">
        <v>0</v>
      </c>
      <c r="U87" s="94">
        <v>0</v>
      </c>
      <c r="W87" s="95">
        <f t="shared" si="41"/>
        <v>13</v>
      </c>
      <c r="X87" s="94">
        <f>Model!$E23</f>
        <v>0.239514582023863</v>
      </c>
    </row>
    <row r="88" spans="1:24" ht="12.75">
      <c r="A88" s="95">
        <f t="shared" si="40"/>
        <v>14</v>
      </c>
      <c r="B88" s="94">
        <f>(INDEX(BIJ,14,1)*INDEX(SIE,1)*INDEX(TIJ,1,1)+INDEX(BIJ,14,2)*INDEX(SIE,2)*INDEX(TIJ,2,1)+INDEX(BIJ,14,3)*INDEX(SIE,3)*INDEX(TIJ,3,1)+INDEX(BIJ,14,4)*INDEX(SIE,4)*INDEX(TIJ,4,1)+INDEX(BIJ,14,5)*INDEX(SIE,5)*INDEX(TIJ,5,1)+INDEX(BIJ,14,6)*INDEX(SIE,6)*INDEX(TIJ,6,1)+INDEX(BIJ,14,7)*INDEX(SIE,7)*INDEX(TIJ,7,1)+INDEX(BIJ,14,8)*INDEX(SIE,8)*INDEX(TIJ,8,1)+INDEX(BIJ,14,9)*INDEX(SIE,9)*INDEX(TIJ,9,1)+INDEX(BIJ,14,10)*INDEX(SIE,10)*INDEX(TIJ,10,1)+INDEX(BIJ,14,11)*INDEX(SIE,11)*INDEX(TIJ,11,1)+INDEX(BIJ,14,12)*INDEX(SIE,12)*INDEX(TIJ,12,1)+INDEX(BIJ,14,13)*INDEX(SIE,13)*INDEX(TIJ,13,1))/(INDEX(SIE,14)-INDEX(SIE,1))</f>
        <v>-441.12664749421873</v>
      </c>
      <c r="C88" s="94">
        <f>(INDEX(BIJ,14,2)*INDEX(SIE,2)*INDEX(TIJ,2,2)+INDEX(BIJ,14,3)*INDEX(SIE,3)*INDEX(TIJ,3,2)+INDEX(BIJ,14,4)*INDEX(SIE,4)*INDEX(TIJ,4,2)+INDEX(BIJ,14,5)*INDEX(SIE,5)*INDEX(TIJ,5,2)+INDEX(BIJ,14,6)*INDEX(SIE,6)*INDEX(TIJ,6,2)+INDEX(BIJ,14,7)*INDEX(SIE,7)*INDEX(TIJ,7,2)+INDEX(BIJ,14,8)*INDEX(SIE,8)*INDEX(TIJ,8,2)+INDEX(BIJ,14,9)*INDEX(SIE,9)*INDEX(TIJ,9,2)+INDEX(BIJ,14,10)*INDEX(SIE,10)*INDEX(TIJ,10,2)+INDEX(BIJ,14,11)*INDEX(SIE,11)*INDEX(TIJ,11,2)+INDEX(BIJ,14,12)*INDEX(SIE,12)*INDEX(TIJ,12,2)+INDEX(BIJ,14,13)*INDEX(SIE,13)*INDEX(TIJ,13,2))/(INDEX(SIE,14)-INDEX(SIE,2))</f>
        <v>-11.404413098920344</v>
      </c>
      <c r="D88" s="94">
        <f>(INDEX(BIJ,14,3)*INDEX(SIE,3)*INDEX(TIJ,3,3)+INDEX(BIJ,14,4)*INDEX(SIE,4)*INDEX(TIJ,4,3)+INDEX(BIJ,14,5)*INDEX(SIE,5)*INDEX(TIJ,5,3)+INDEX(BIJ,14,6)*INDEX(SIE,6)*INDEX(TIJ,6,3)+INDEX(BIJ,14,7)*INDEX(SIE,7)*INDEX(TIJ,7,3)+INDEX(BIJ,14,8)*INDEX(SIE,8)*INDEX(TIJ,8,3)+INDEX(BIJ,14,9)*INDEX(SIE,9)*INDEX(TIJ,9,3)+INDEX(BIJ,14,10)*INDEX(SIE,10)*INDEX(TIJ,10,3)+INDEX(BIJ,14,11)*INDEX(SIE,11)*INDEX(TIJ,11,3)+INDEX(BIJ,14,12)*INDEX(SIE,12)*INDEX(TIJ,12,3)+INDEX(BIJ,14,13)*INDEX(SIE,13)*INDEX(TIJ,13,3))/(INDEX(SIE,14)-INDEX(SIE,3))</f>
        <v>0.08078883616639333</v>
      </c>
      <c r="E88" s="94">
        <f>(INDEX(BIJ,14,4)*INDEX(SIE,4)*INDEX(TIJ,4,4)+INDEX(BIJ,14,5)*INDEX(SIE,5)*INDEX(TIJ,5,4)+INDEX(BIJ,14,6)*INDEX(SIE,6)*INDEX(TIJ,6,4)+INDEX(BIJ,14,7)*INDEX(SIE,7)*INDEX(TIJ,7,4)+INDEX(BIJ,14,8)*INDEX(SIE,8)*INDEX(TIJ,8,4)+INDEX(BIJ,14,9)*INDEX(SIE,9)*INDEX(TIJ,9,4)+INDEX(BIJ,14,10)*INDEX(SIE,10)*INDEX(TIJ,10,4)+INDEX(BIJ,14,11)*INDEX(SIE,11)*INDEX(TIJ,11,4)+INDEX(BIJ,14,12)*INDEX(SIE,12)*INDEX(TIJ,12,4)+INDEX(BIJ,14,13)*INDEX(SIE,13)*INDEX(TIJ,13,4))/(INDEX(SIE,14)-INDEX(SIE,4))</f>
        <v>0.03709406289255542</v>
      </c>
      <c r="F88" s="94">
        <f>(INDEX(BIJ,14,5)*INDEX(SIE,5)*INDEX(TIJ,5,5)+INDEX(BIJ,14,6)*INDEX(SIE,6)*INDEX(TIJ,6,5)+INDEX(BIJ,14,7)*INDEX(SIE,7)*INDEX(TIJ,7,5)+INDEX(BIJ,14,8)*INDEX(SIE,8)*INDEX(TIJ,8,5)+INDEX(BIJ,14,9)*INDEX(SIE,9)*INDEX(TIJ,9,5)+INDEX(BIJ,14,10)*INDEX(SIE,10)*INDEX(TIJ,10,5)+INDEX(BIJ,14,11)*INDEX(SIE,11)*INDEX(TIJ,11,5)+INDEX(BIJ,14,12)*INDEX(SIE,12)*INDEX(TIJ,12,5)+INDEX(BIJ,14,13)*INDEX(SIE,13)*INDEX(TIJ,13,5))/(INDEX(SIE,14)-INDEX(SIE,5))</f>
        <v>0.002562723875535122</v>
      </c>
      <c r="G88" s="94">
        <f>(INDEX(BIJ,14,6)*INDEX(SIE,6)*INDEX(TIJ,6,6)+INDEX(BIJ,14,7)*INDEX(SIE,7)*INDEX(TIJ,7,6)+INDEX(BIJ,14,8)*INDEX(SIE,8)*INDEX(TIJ,8,6)+INDEX(BIJ,14,9)*INDEX(SIE,9)*INDEX(TIJ,9,6)+INDEX(BIJ,14,10)*INDEX(SIE,10)*INDEX(TIJ,10,6)+INDEX(BIJ,14,11)*INDEX(SIE,11)*INDEX(TIJ,11,6)+INDEX(BIJ,14,12)*INDEX(SIE,12)*INDEX(TIJ,12,6)+INDEX(BIJ,14,13)*INDEX(SIE,13)*INDEX(TIJ,13,6))/(INDEX(SIE,14)-INDEX(SIE,6))</f>
        <v>-0.0003770289620570585</v>
      </c>
      <c r="H88" s="94">
        <f>(INDEX(BIJ,14,7)*INDEX(SIE,7)*INDEX(TIJ,7,7)+INDEX(BIJ,14,8)*INDEX(SIE,8)*INDEX(TIJ,8,7)+INDEX(BIJ,14,9)*INDEX(SIE,9)*INDEX(TIJ,9,7)+INDEX(BIJ,14,10)*INDEX(SIE,10)*INDEX(TIJ,10,7)+INDEX(BIJ,14,11)*INDEX(SIE,11)*INDEX(TIJ,11,7)+INDEX(BIJ,14,12)*INDEX(SIE,12)*INDEX(TIJ,12,7)+INDEX(BIJ,14,13)*INDEX(SIE,13)*INDEX(TIJ,13,7))/(INDEX(SIE,14)-INDEX(SIE,7))</f>
        <v>0.00015113198323984234</v>
      </c>
      <c r="I88" s="94">
        <f>(INDEX(BIJ,14,8)*INDEX(SIE,8)*INDEX(TIJ,8,8)+INDEX(BIJ,14,9)*INDEX(SIE,9)*INDEX(TIJ,9,8)+INDEX(BIJ,14,10)*INDEX(SIE,10)*INDEX(TIJ,10,8)+INDEX(BIJ,14,11)*INDEX(SIE,11)*INDEX(TIJ,11,8)+INDEX(BIJ,14,12)*INDEX(SIE,12)*INDEX(TIJ,12,8)+INDEX(BIJ,14,13)*INDEX(SIE,13)*INDEX(TIJ,13,8))/(INDEX(SIE,14)-INDEX(SIE,8))</f>
        <v>-0.00181559426639707</v>
      </c>
      <c r="J88" s="94">
        <f>(INDEX(BIJ,14,9)*INDEX(SIE,9)*INDEX(TIJ,9,9)+INDEX(BIJ,14,10)*INDEX(SIE,10)*INDEX(TIJ,10,9)+INDEX(BIJ,14,11)*INDEX(SIE,11)*INDEX(TIJ,11,9)+INDEX(BIJ,14,12)*INDEX(SIE,12)*INDEX(TIJ,12,9)+INDEX(BIJ,14,13)*INDEX(SIE,13)*INDEX(TIJ,13,9))/(INDEX(SIE,14)-INDEX(SIE,9))</f>
        <v>-0.00012684651024031865</v>
      </c>
      <c r="K88" s="94">
        <f>(INDEX(BIJ,14,10)*INDEX(SIE,10)*INDEX(TIJ,10,10)+INDEX(BIJ,14,11)*INDEX(SIE,11)*INDEX(TIJ,11,10)+INDEX(BIJ,14,12)*INDEX(SIE,12)*INDEX(TIJ,12,10)+INDEX(BIJ,14,13)*INDEX(SIE,13)*INDEX(TIJ,13,10))/(INDEX(SIE,14)-INDEX(SIE,10))</f>
        <v>0.02234294182245598</v>
      </c>
      <c r="L88" s="94">
        <f>(INDEX(BIJ,14,11)*INDEX(SIE,11)*INDEX(TIJ,11,11)+INDEX(BIJ,14,12)*INDEX(SIE,12)*INDEX(TIJ,12,11)+INDEX(BIJ,14,13)*INDEX(SIE,13)*INDEX(TIJ,13,11))/(INDEX(SIE,14)-INDEX(SIE,11))</f>
        <v>-0.34381689841862817</v>
      </c>
      <c r="M88" s="94">
        <f>(INDEX(BIJ,14,12)*INDEX(SIE,12)*INDEX(TIJ,12,12)+INDEX(BIJ,14,13)*INDEX(SIE,13)*INDEX(TIJ,13,12))/(INDEX(SIE,14)-INDEX(SIE,12))</f>
        <v>1.302129988355119</v>
      </c>
      <c r="N88" s="94">
        <f>(INDEX(BIJ,14,13)*INDEX(SIE,13)*INDEX(TIJ,13,13))/(INDEX(SIE,14)-INDEX(SIE,13))</f>
        <v>-1.9775930393521148</v>
      </c>
      <c r="O88" s="94">
        <v>1</v>
      </c>
      <c r="P88" s="94">
        <v>0</v>
      </c>
      <c r="Q88" s="94">
        <v>0</v>
      </c>
      <c r="R88" s="94">
        <v>0</v>
      </c>
      <c r="S88" s="94">
        <v>0</v>
      </c>
      <c r="T88" s="94">
        <v>0</v>
      </c>
      <c r="U88" s="94">
        <v>0</v>
      </c>
      <c r="W88" s="95">
        <f t="shared" si="41"/>
        <v>14</v>
      </c>
      <c r="X88" s="94">
        <f>Model!$E24</f>
        <v>0.18151994444628064</v>
      </c>
    </row>
    <row r="89" spans="1:24" ht="12.75">
      <c r="A89" s="95">
        <f t="shared" si="40"/>
        <v>15</v>
      </c>
      <c r="B89" s="94">
        <f>(INDEX(BIJ,15,1)*INDEX(SIE,1)*INDEX(TIJ,1,1)+INDEX(BIJ,15,2)*INDEX(SIE,2)*INDEX(TIJ,2,1)+INDEX(BIJ,15,3)*INDEX(SIE,3)*INDEX(TIJ,3,1)+INDEX(BIJ,15,4)*INDEX(SIE,4)*INDEX(TIJ,4,1)+INDEX(BIJ,15,5)*INDEX(SIE,5)*INDEX(TIJ,5,1)+INDEX(BIJ,15,6)*INDEX(SIE,6)*INDEX(TIJ,6,1)+INDEX(BIJ,15,7)*INDEX(SIE,7)*INDEX(TIJ,7,1)+INDEX(BIJ,15,8)*INDEX(SIE,8)*INDEX(TIJ,8,1)+INDEX(BIJ,15,9)*INDEX(SIE,9)*INDEX(TIJ,9,1)+INDEX(BIJ,15,10)*INDEX(SIE,10)*INDEX(TIJ,10,1)+INDEX(BIJ,15,11)*INDEX(SIE,11)*INDEX(TIJ,11,1)+INDEX(BIJ,15,12)*INDEX(SIE,12)*INDEX(TIJ,12,1)+INDEX(BIJ,15,13)*INDEX(SIE,13)*INDEX(TIJ,13,1)+INDEX(BIJ,15,14)*INDEX(SIE,14)*INDEX(TIJ,14,1))/(INDEX(SIE,15)-INDEX(SIE,1))</f>
        <v>308.92685777612877</v>
      </c>
      <c r="C89" s="94">
        <f>(INDEX(BIJ,15,2)*INDEX(SIE,2)*INDEX(TIJ,2,2)+INDEX(BIJ,15,3)*INDEX(SIE,3)*INDEX(TIJ,3,2)+INDEX(BIJ,15,4)*INDEX(SIE,4)*INDEX(TIJ,4,2)+INDEX(BIJ,15,5)*INDEX(SIE,5)*INDEX(TIJ,5,2)+INDEX(BIJ,15,6)*INDEX(SIE,6)*INDEX(TIJ,6,2)+INDEX(BIJ,15,7)*INDEX(SIE,7)*INDEX(TIJ,7,2)+INDEX(BIJ,15,8)*INDEX(SIE,8)*INDEX(TIJ,8,2)+INDEX(BIJ,15,9)*INDEX(SIE,9)*INDEX(TIJ,9,2)+INDEX(BIJ,15,10)*INDEX(SIE,10)*INDEX(TIJ,10,2)+INDEX(BIJ,15,11)*INDEX(SIE,11)*INDEX(TIJ,11,2)+INDEX(BIJ,15,12)*INDEX(SIE,12)*INDEX(TIJ,12,2)+INDEX(BIJ,15,13)*INDEX(SIE,13)*INDEX(TIJ,13,2)+INDEX(BIJ,15,14)*INDEX(SIE,14)*INDEX(TIJ,14,2))/(INDEX(SIE,15)-INDEX(SIE,2))</f>
        <v>0.5038152536921753</v>
      </c>
      <c r="D89" s="94">
        <f>(INDEX(BIJ,15,3)*INDEX(SIE,3)*INDEX(TIJ,3,3)+INDEX(BIJ,15,4)*INDEX(SIE,4)*INDEX(TIJ,4,3)+INDEX(BIJ,15,5)*INDEX(SIE,5)*INDEX(TIJ,5,3)+INDEX(BIJ,15,6)*INDEX(SIE,6)*INDEX(TIJ,6,3)+INDEX(BIJ,15,7)*INDEX(SIE,7)*INDEX(TIJ,7,3)+INDEX(BIJ,15,8)*INDEX(SIE,8)*INDEX(TIJ,8,3)+INDEX(BIJ,15,9)*INDEX(SIE,9)*INDEX(TIJ,9,3)+INDEX(BIJ,15,10)*INDEX(SIE,10)*INDEX(TIJ,10,3)+INDEX(BIJ,15,11)*INDEX(SIE,11)*INDEX(TIJ,11,3)+INDEX(BIJ,15,12)*INDEX(SIE,12)*INDEX(TIJ,12,3)+INDEX(BIJ,15,13)*INDEX(SIE,13)*INDEX(TIJ,13,3)+INDEX(BIJ,15,14)*INDEX(SIE,14)*INDEX(TIJ,14,3))/(INDEX(SIE,15)-INDEX(SIE,3))</f>
        <v>0.06798308884813849</v>
      </c>
      <c r="E89" s="94">
        <f>(INDEX(BIJ,15,4)*INDEX(SIE,4)*INDEX(TIJ,4,4)+INDEX(BIJ,15,5)*INDEX(SIE,5)*INDEX(TIJ,5,4)+INDEX(BIJ,15,6)*INDEX(SIE,6)*INDEX(TIJ,6,4)+INDEX(BIJ,15,7)*INDEX(SIE,7)*INDEX(TIJ,7,4)+INDEX(BIJ,15,8)*INDEX(SIE,8)*INDEX(TIJ,8,4)+INDEX(BIJ,15,9)*INDEX(SIE,9)*INDEX(TIJ,9,4)+INDEX(BIJ,15,10)*INDEX(SIE,10)*INDEX(TIJ,10,4)+INDEX(BIJ,15,11)*INDEX(SIE,11)*INDEX(TIJ,11,4)+INDEX(BIJ,15,12)*INDEX(SIE,12)*INDEX(TIJ,12,4)+INDEX(BIJ,15,13)*INDEX(SIE,13)*INDEX(TIJ,13,4)+INDEX(BIJ,15,14)*INDEX(SIE,14)*INDEX(TIJ,14,4))/(INDEX(SIE,15)-INDEX(SIE,4))</f>
        <v>0.03127160786879798</v>
      </c>
      <c r="F89" s="94">
        <f>(INDEX(BIJ,15,5)*INDEX(SIE,5)*INDEX(TIJ,5,5)+INDEX(BIJ,15,6)*INDEX(SIE,6)*INDEX(TIJ,6,5)+INDEX(BIJ,15,7)*INDEX(SIE,7)*INDEX(TIJ,7,5)+INDEX(BIJ,15,8)*INDEX(SIE,8)*INDEX(TIJ,8,5)+INDEX(BIJ,15,9)*INDEX(SIE,9)*INDEX(TIJ,9,5)+INDEX(BIJ,15,10)*INDEX(SIE,10)*INDEX(TIJ,10,5)+INDEX(BIJ,15,11)*INDEX(SIE,11)*INDEX(TIJ,11,5)+INDEX(BIJ,15,12)*INDEX(SIE,12)*INDEX(TIJ,12,5)+INDEX(BIJ,15,13)*INDEX(SIE,13)*INDEX(TIJ,13,5)+INDEX(BIJ,15,14)*INDEX(SIE,14)*INDEX(TIJ,14,5))/(INDEX(SIE,15)-INDEX(SIE,5))</f>
        <v>0.002159714167068909</v>
      </c>
      <c r="G89" s="94">
        <f>(INDEX(BIJ,15,6)*INDEX(SIE,6)*INDEX(TIJ,6,6)+INDEX(BIJ,15,7)*INDEX(SIE,7)*INDEX(TIJ,7,6)+INDEX(BIJ,15,8)*INDEX(SIE,8)*INDEX(TIJ,8,6)+INDEX(BIJ,15,9)*INDEX(SIE,9)*INDEX(TIJ,9,6)+INDEX(BIJ,15,10)*INDEX(SIE,10)*INDEX(TIJ,10,6)+INDEX(BIJ,15,11)*INDEX(SIE,11)*INDEX(TIJ,11,6)+INDEX(BIJ,15,12)*INDEX(SIE,12)*INDEX(TIJ,12,6)+INDEX(BIJ,15,13)*INDEX(SIE,13)*INDEX(TIJ,13,6)+INDEX(BIJ,15,14)*INDEX(SIE,14)*INDEX(TIJ,14,6))/(INDEX(SIE,15)-INDEX(SIE,6))</f>
        <v>-0.00031797875584633947</v>
      </c>
      <c r="H89" s="94">
        <f>(INDEX(BIJ,15,7)*INDEX(SIE,7)*INDEX(TIJ,7,7)+INDEX(BIJ,15,8)*INDEX(SIE,8)*INDEX(TIJ,8,7)+INDEX(BIJ,15,9)*INDEX(SIE,9)*INDEX(TIJ,9,7)+INDEX(BIJ,15,10)*INDEX(SIE,10)*INDEX(TIJ,10,7)+INDEX(BIJ,15,11)*INDEX(SIE,11)*INDEX(TIJ,11,7)+INDEX(BIJ,15,12)*INDEX(SIE,12)*INDEX(TIJ,12,7)+INDEX(BIJ,15,13)*INDEX(SIE,13)*INDEX(TIJ,13,7)+INDEX(BIJ,15,14)*INDEX(SIE,14)*INDEX(TIJ,14,7))/(INDEX(SIE,15)-INDEX(SIE,7))</f>
        <v>0.0001186809133523873</v>
      </c>
      <c r="I89" s="94">
        <f>(INDEX(BIJ,15,8)*INDEX(SIE,8)*INDEX(TIJ,8,8)+INDEX(BIJ,15,9)*INDEX(SIE,9)*INDEX(TIJ,9,8)+INDEX(BIJ,15,10)*INDEX(SIE,10)*INDEX(TIJ,10,8)+INDEX(BIJ,15,11)*INDEX(SIE,11)*INDEX(TIJ,11,8)+INDEX(BIJ,15,12)*INDEX(SIE,12)*INDEX(TIJ,12,8)+INDEX(BIJ,15,13)*INDEX(SIE,13)*INDEX(TIJ,13,8)+INDEX(BIJ,15,14)*INDEX(SIE,14)*INDEX(TIJ,14,8))/(INDEX(SIE,15)-INDEX(SIE,8))</f>
        <v>-0.0015754507078328112</v>
      </c>
      <c r="J89" s="94">
        <f>(INDEX(BIJ,15,9)*INDEX(SIE,9)*INDEX(TIJ,9,9)+INDEX(BIJ,15,10)*INDEX(SIE,10)*INDEX(TIJ,10,9)+INDEX(BIJ,15,11)*INDEX(SIE,11)*INDEX(TIJ,11,9)+INDEX(BIJ,15,12)*INDEX(SIE,12)*INDEX(TIJ,12,9)+INDEX(BIJ,15,13)*INDEX(SIE,13)*INDEX(TIJ,13,9)+INDEX(BIJ,15,14)*INDEX(SIE,14)*INDEX(TIJ,14,9))/(INDEX(SIE,15)-INDEX(SIE,9))</f>
        <v>-0.0007773090235859624</v>
      </c>
      <c r="K89" s="94">
        <f>(INDEX(BIJ,15,10)*INDEX(SIE,10)*INDEX(TIJ,10,10)+INDEX(BIJ,15,11)*INDEX(SIE,11)*INDEX(TIJ,11,10)+INDEX(BIJ,15,12)*INDEX(SIE,12)*INDEX(TIJ,12,10)+INDEX(BIJ,15,13)*INDEX(SIE,13)*INDEX(TIJ,13,10)+INDEX(BIJ,15,14)*INDEX(SIE,14)*INDEX(TIJ,14,10))/(INDEX(SIE,15)-INDEX(SIE,10))</f>
        <v>-0.000793837281089956</v>
      </c>
      <c r="L89" s="94">
        <f>(INDEX(BIJ,15,11)*INDEX(SIE,11)*INDEX(TIJ,11,11)+INDEX(BIJ,15,12)*INDEX(SIE,12)*INDEX(TIJ,12,11)+INDEX(BIJ,15,13)*INDEX(SIE,13)*INDEX(TIJ,13,11)+INDEX(BIJ,15,14)*INDEX(SIE,14)*INDEX(TIJ,14,11))/(INDEX(SIE,15)-INDEX(SIE,11))</f>
        <v>0.02188678290469136</v>
      </c>
      <c r="M89" s="94">
        <f>(INDEX(BIJ,15,12)*INDEX(SIE,12)*INDEX(TIJ,12,12)+INDEX(BIJ,15,13)*INDEX(SIE,13)*INDEX(TIJ,13,12)+INDEX(BIJ,15,14)*INDEX(SIE,14)*INDEX(TIJ,14,12))/(INDEX(SIE,15)-INDEX(SIE,12))</f>
        <v>-0.3393069722949239</v>
      </c>
      <c r="N89" s="94">
        <f>(INDEX(BIJ,15,13)*INDEX(SIE,13)*INDEX(TIJ,13,13)+INDEX(BIJ,15,14)*INDEX(SIE,14)*INDEX(TIJ,14,13))/(INDEX(SIE,15)-INDEX(SIE,13))</f>
        <v>1.3079733007974865</v>
      </c>
      <c r="O89" s="94">
        <f>(INDEX(BIJ,15,14)*INDEX(SIE,14)*INDEX(TIJ,14,14))/(INDEX(SIE,15)-INDEX(SIE,14))</f>
        <v>-1.9813134868117435</v>
      </c>
      <c r="P89" s="94">
        <v>1</v>
      </c>
      <c r="Q89" s="94">
        <v>0</v>
      </c>
      <c r="R89" s="94">
        <v>0</v>
      </c>
      <c r="S89" s="94">
        <v>0</v>
      </c>
      <c r="T89" s="94">
        <v>0</v>
      </c>
      <c r="U89" s="94">
        <v>0</v>
      </c>
      <c r="W89" s="95">
        <f t="shared" si="41"/>
        <v>15</v>
      </c>
      <c r="X89" s="94">
        <f>Model!$E25</f>
        <v>0.1375668068158448</v>
      </c>
    </row>
    <row r="90" spans="1:24" ht="12.75">
      <c r="A90" s="95">
        <f t="shared" si="40"/>
        <v>16</v>
      </c>
      <c r="B90" s="94">
        <f>(INDEX(BIJ,16,1)*INDEX(SIE,1)*INDEX(TIJ,1,1)+INDEX(BIJ,16,2)*INDEX(SIE,2)*INDEX(TIJ,2,1)+INDEX(BIJ,16,3)*INDEX(SIE,3)*INDEX(TIJ,3,1)+INDEX(BIJ,16,4)*INDEX(SIE,4)*INDEX(TIJ,4,1)+INDEX(BIJ,16,5)*INDEX(SIE,5)*INDEX(TIJ,5,1)+INDEX(BIJ,16,6)*INDEX(SIE,6)*INDEX(TIJ,6,1)+INDEX(BIJ,16,7)*INDEX(SIE,7)*INDEX(TIJ,7,1)+INDEX(BIJ,16,8)*INDEX(SIE,8)*INDEX(TIJ,8,1)+INDEX(BIJ,16,9)*INDEX(SIE,9)*INDEX(TIJ,9,1)+INDEX(BIJ,16,10)*INDEX(SIE,10)*INDEX(TIJ,10,1)+INDEX(BIJ,16,11)*INDEX(SIE,11)*INDEX(TIJ,11,1)+INDEX(BIJ,16,12)*INDEX(SIE,12)*INDEX(TIJ,12,1)+INDEX(BIJ,16,13)*INDEX(SIE,13)*INDEX(TIJ,13,1)+INDEX(BIJ,16,14)*INDEX(SIE,14)*INDEX(TIJ,14,1)+INDEX(BIJ,16,15)*INDEX(SIE,15)*INDEX(TIJ,15,1))/(INDEX(SIE,16)-INDEX(SIE,1))</f>
        <v>-85.85849421774223</v>
      </c>
      <c r="C90" s="94">
        <f>(INDEX(BIJ,16,2)*INDEX(SIE,2)*INDEX(TIJ,2,2)+INDEX(BIJ,16,3)*INDEX(SIE,3)*INDEX(TIJ,3,2)+INDEX(BIJ,16,4)*INDEX(SIE,4)*INDEX(TIJ,4,2)+INDEX(BIJ,16,5)*INDEX(SIE,5)*INDEX(TIJ,5,2)+INDEX(BIJ,16,6)*INDEX(SIE,6)*INDEX(TIJ,6,2)+INDEX(BIJ,16,7)*INDEX(SIE,7)*INDEX(TIJ,7,2)+INDEX(BIJ,16,8)*INDEX(SIE,8)*INDEX(TIJ,8,2)+INDEX(BIJ,16,9)*INDEX(SIE,9)*INDEX(TIJ,9,2)+INDEX(BIJ,16,10)*INDEX(SIE,10)*INDEX(TIJ,10,2)+INDEX(BIJ,16,11)*INDEX(SIE,11)*INDEX(TIJ,11,2)+INDEX(BIJ,16,12)*INDEX(SIE,12)*INDEX(TIJ,12,2)+INDEX(BIJ,16,13)*INDEX(SIE,13)*INDEX(TIJ,13,2)+INDEX(BIJ,16,14)*INDEX(SIE,14)*INDEX(TIJ,14,2)+INDEX(BIJ,16,15)*INDEX(SIE,15)*INDEX(TIJ,15,2))/(INDEX(SIE,16)-INDEX(SIE,2))</f>
        <v>0.7684303549513959</v>
      </c>
      <c r="D90" s="94">
        <f>(INDEX(BIJ,16,3)*INDEX(SIE,3)*INDEX(TIJ,3,3)+INDEX(BIJ,16,4)*INDEX(SIE,4)*INDEX(TIJ,4,3)+INDEX(BIJ,16,5)*INDEX(SIE,5)*INDEX(TIJ,5,3)+INDEX(BIJ,16,6)*INDEX(SIE,6)*INDEX(TIJ,6,3)+INDEX(BIJ,16,7)*INDEX(SIE,7)*INDEX(TIJ,7,3)+INDEX(BIJ,16,8)*INDEX(SIE,8)*INDEX(TIJ,8,3)+INDEX(BIJ,16,9)*INDEX(SIE,9)*INDEX(TIJ,9,3)+INDEX(BIJ,16,10)*INDEX(SIE,10)*INDEX(TIJ,10,3)+INDEX(BIJ,16,11)*INDEX(SIE,11)*INDEX(TIJ,11,3)+INDEX(BIJ,16,12)*INDEX(SIE,12)*INDEX(TIJ,12,3)+INDEX(BIJ,16,13)*INDEX(SIE,13)*INDEX(TIJ,13,3)+INDEX(BIJ,16,14)*INDEX(SIE,14)*INDEX(TIJ,14,3)+INDEX(BIJ,16,15)*INDEX(SIE,15)*INDEX(TIJ,15,3))/(INDEX(SIE,16)-INDEX(SIE,3))</f>
        <v>0.05677990174059701</v>
      </c>
      <c r="E90" s="94">
        <f>(INDEX(BIJ,16,4)*INDEX(SIE,4)*INDEX(TIJ,4,4)+INDEX(BIJ,16,5)*INDEX(SIE,5)*INDEX(TIJ,5,4)+INDEX(BIJ,16,6)*INDEX(SIE,6)*INDEX(TIJ,6,4)+INDEX(BIJ,16,7)*INDEX(SIE,7)*INDEX(TIJ,7,4)+INDEX(BIJ,16,8)*INDEX(SIE,8)*INDEX(TIJ,8,4)+INDEX(BIJ,16,9)*INDEX(SIE,9)*INDEX(TIJ,9,4)+INDEX(BIJ,16,10)*INDEX(SIE,10)*INDEX(TIJ,10,4)+INDEX(BIJ,16,11)*INDEX(SIE,11)*INDEX(TIJ,11,4)+INDEX(BIJ,16,12)*INDEX(SIE,12)*INDEX(TIJ,12,4)+INDEX(BIJ,16,13)*INDEX(SIE,13)*INDEX(TIJ,13,4)+INDEX(BIJ,16,14)*INDEX(SIE,14)*INDEX(TIJ,14,4)+INDEX(BIJ,16,15)*INDEX(SIE,15)*INDEX(TIJ,15,4))/(INDEX(SIE,16)-INDEX(SIE,4))</f>
        <v>0.026180180703835987</v>
      </c>
      <c r="F90" s="94">
        <f>(INDEX(BIJ,16,5)*INDEX(SIE,5)*INDEX(TIJ,5,5)+INDEX(BIJ,16,6)*INDEX(SIE,6)*INDEX(TIJ,6,5)+INDEX(BIJ,16,7)*INDEX(SIE,7)*INDEX(TIJ,7,5)+INDEX(BIJ,16,8)*INDEX(SIE,8)*INDEX(TIJ,8,5)+INDEX(BIJ,16,9)*INDEX(SIE,9)*INDEX(TIJ,9,5)+INDEX(BIJ,16,10)*INDEX(SIE,10)*INDEX(TIJ,10,5)+INDEX(BIJ,16,11)*INDEX(SIE,11)*INDEX(TIJ,11,5)+INDEX(BIJ,16,12)*INDEX(SIE,12)*INDEX(TIJ,12,5)+INDEX(BIJ,16,13)*INDEX(SIE,13)*INDEX(TIJ,13,5)+INDEX(BIJ,16,14)*INDEX(SIE,14)*INDEX(TIJ,14,5)+INDEX(BIJ,16,15)*INDEX(SIE,15)*INDEX(TIJ,15,5))/(INDEX(SIE,16)-INDEX(SIE,5))</f>
        <v>0.0018084034261444618</v>
      </c>
      <c r="G90" s="94">
        <f>(INDEX(BIJ,16,6)*INDEX(SIE,6)*INDEX(TIJ,6,6)+INDEX(BIJ,16,7)*INDEX(SIE,7)*INDEX(TIJ,7,6)+INDEX(BIJ,16,8)*INDEX(SIE,8)*INDEX(TIJ,8,6)+INDEX(BIJ,16,9)*INDEX(SIE,9)*INDEX(TIJ,9,6)+INDEX(BIJ,16,10)*INDEX(SIE,10)*INDEX(TIJ,10,6)+INDEX(BIJ,16,11)*INDEX(SIE,11)*INDEX(TIJ,11,6)+INDEX(BIJ,16,12)*INDEX(SIE,12)*INDEX(TIJ,12,6)+INDEX(BIJ,16,13)*INDEX(SIE,13)*INDEX(TIJ,13,6)+INDEX(BIJ,16,14)*INDEX(SIE,14)*INDEX(TIJ,14,6)+INDEX(BIJ,16,15)*INDEX(SIE,15)*INDEX(TIJ,15,6))/(INDEX(SIE,16)-INDEX(SIE,6))</f>
        <v>-0.000266150115456028</v>
      </c>
      <c r="H90" s="94">
        <f>(INDEX(BIJ,16,7)*INDEX(SIE,7)*INDEX(TIJ,7,7)+INDEX(BIJ,16,8)*INDEX(SIE,8)*INDEX(TIJ,8,7)+INDEX(BIJ,16,9)*INDEX(SIE,9)*INDEX(TIJ,9,7)+INDEX(BIJ,16,10)*INDEX(SIE,10)*INDEX(TIJ,10,7)+INDEX(BIJ,16,11)*INDEX(SIE,11)*INDEX(TIJ,11,7)+INDEX(BIJ,16,12)*INDEX(SIE,12)*INDEX(TIJ,12,7)+INDEX(BIJ,16,13)*INDEX(SIE,13)*INDEX(TIJ,13,7)+INDEX(BIJ,16,14)*INDEX(SIE,14)*INDEX(TIJ,14,7)+INDEX(BIJ,16,15)*INDEX(SIE,15)*INDEX(TIJ,15,7))/(INDEX(SIE,16)-INDEX(SIE,7))</f>
        <v>9.778036613751723E-05</v>
      </c>
      <c r="I90" s="94">
        <f>(INDEX(BIJ,16,8)*INDEX(SIE,8)*INDEX(TIJ,8,8)+INDEX(BIJ,16,9)*INDEX(SIE,9)*INDEX(TIJ,9,8)+INDEX(BIJ,16,10)*INDEX(SIE,10)*INDEX(TIJ,10,8)+INDEX(BIJ,16,11)*INDEX(SIE,11)*INDEX(TIJ,11,8)+INDEX(BIJ,16,12)*INDEX(SIE,12)*INDEX(TIJ,12,8)+INDEX(BIJ,16,13)*INDEX(SIE,13)*INDEX(TIJ,13,8)+INDEX(BIJ,16,14)*INDEX(SIE,14)*INDEX(TIJ,14,8)+INDEX(BIJ,16,15)*INDEX(SIE,15)*INDEX(TIJ,15,8))/(INDEX(SIE,16)-INDEX(SIE,8))</f>
        <v>-0.0013208139170260162</v>
      </c>
      <c r="J90" s="94">
        <f>(INDEX(BIJ,16,9)*INDEX(SIE,9)*INDEX(TIJ,9,9)+INDEX(BIJ,16,10)*INDEX(SIE,10)*INDEX(TIJ,10,9)+INDEX(BIJ,16,11)*INDEX(SIE,11)*INDEX(TIJ,11,9)+INDEX(BIJ,16,12)*INDEX(SIE,12)*INDEX(TIJ,12,9)+INDEX(BIJ,16,13)*INDEX(SIE,13)*INDEX(TIJ,13,9)+INDEX(BIJ,16,14)*INDEX(SIE,14)*INDEX(TIJ,14,9)+INDEX(BIJ,16,15)*INDEX(SIE,15)*INDEX(TIJ,15,9))/(INDEX(SIE,16)-INDEX(SIE,9))</f>
        <v>-0.0007092710098569334</v>
      </c>
      <c r="K90" s="94">
        <f>(INDEX(BIJ,16,10)*INDEX(SIE,10)*INDEX(TIJ,10,10)+INDEX(BIJ,16,11)*INDEX(SIE,11)*INDEX(TIJ,11,10)+INDEX(BIJ,16,12)*INDEX(SIE,12)*INDEX(TIJ,12,10)+INDEX(BIJ,16,13)*INDEX(SIE,13)*INDEX(TIJ,13,10)+INDEX(BIJ,16,14)*INDEX(SIE,14)*INDEX(TIJ,14,10)+INDEX(BIJ,16,15)*INDEX(SIE,15)*INDEX(TIJ,15,10))/(INDEX(SIE,16)-INDEX(SIE,10))</f>
        <v>-0.001299150965509363</v>
      </c>
      <c r="L90" s="94">
        <f>(INDEX(BIJ,16,11)*INDEX(SIE,11)*INDEX(TIJ,11,11)+INDEX(BIJ,16,12)*INDEX(SIE,12)*INDEX(TIJ,12,11)+INDEX(BIJ,16,13)*INDEX(SIE,13)*INDEX(TIJ,13,11)+INDEX(BIJ,16,14)*INDEX(SIE,14)*INDEX(TIJ,14,11)+INDEX(BIJ,16,15)*INDEX(SIE,15)*INDEX(TIJ,15,11))/(INDEX(SIE,16)-INDEX(SIE,11))</f>
        <v>-0.0006877355393428346</v>
      </c>
      <c r="M90" s="94">
        <f>(INDEX(BIJ,16,12)*INDEX(SIE,12)*INDEX(TIJ,12,12)+INDEX(BIJ,16,13)*INDEX(SIE,13)*INDEX(TIJ,13,12)+INDEX(BIJ,16,14)*INDEX(SIE,14)*INDEX(TIJ,14,12)+INDEX(BIJ,16,15)*INDEX(SIE,15)*INDEX(TIJ,15,12))/(INDEX(SIE,16)-INDEX(SIE,12))</f>
        <v>0.021876789998430887</v>
      </c>
      <c r="N90" s="94">
        <f>(INDEX(BIJ,16,13)*INDEX(SIE,13)*INDEX(TIJ,13,13)+INDEX(BIJ,16,14)*INDEX(SIE,14)*INDEX(TIJ,14,13)+INDEX(BIJ,16,15)*INDEX(SIE,15)*INDEX(TIJ,15,13))/(INDEX(SIE,16)-INDEX(SIE,13))</f>
        <v>-0.34300023092737325</v>
      </c>
      <c r="O90" s="94">
        <f>(INDEX(BIJ,16,14)*INDEX(SIE,14)*INDEX(TIJ,14,14)+INDEX(BIJ,16,15)*INDEX(SIE,15)*INDEX(TIJ,15,14))/(INDEX(SIE,16)-INDEX(SIE,14))</f>
        <v>1.3100489592227536</v>
      </c>
      <c r="P90" s="94">
        <f>(INDEX(BIJ,16,15)*INDEX(SIE,15)*INDEX(TIJ,15,15))/(INDEX(SIE,16)-INDEX(SIE,15))</f>
        <v>-1.9775360145526266</v>
      </c>
      <c r="Q90" s="94">
        <v>1</v>
      </c>
      <c r="R90" s="94">
        <v>0</v>
      </c>
      <c r="S90" s="94">
        <v>0</v>
      </c>
      <c r="T90" s="94">
        <v>0</v>
      </c>
      <c r="U90" s="94">
        <v>0</v>
      </c>
      <c r="W90" s="95">
        <f t="shared" si="41"/>
        <v>16</v>
      </c>
      <c r="X90" s="94">
        <f>Model!$E26</f>
        <v>0.1042562371777074</v>
      </c>
    </row>
    <row r="91" spans="1:24" ht="12.75">
      <c r="A91" s="95">
        <f t="shared" si="40"/>
        <v>17</v>
      </c>
      <c r="B91" s="94">
        <f>(INDEX(BIJ,17,1)*INDEX(SIE,1)*INDEX(TIJ,1,1)+INDEX(BIJ,17,2)*INDEX(SIE,2)*INDEX(TIJ,2,1)+INDEX(BIJ,17,3)*INDEX(SIE,3)*INDEX(TIJ,3,1)+INDEX(BIJ,17,4)*INDEX(SIE,4)*INDEX(TIJ,4,1)+INDEX(BIJ,17,5)*INDEX(SIE,5)*INDEX(TIJ,5,1)+INDEX(BIJ,17,6)*INDEX(SIE,6)*INDEX(TIJ,6,1)+INDEX(BIJ,17,7)*INDEX(SIE,7)*INDEX(TIJ,7,1)+INDEX(BIJ,17,8)*INDEX(SIE,8)*INDEX(TIJ,8,1)+INDEX(BIJ,17,9)*INDEX(SIE,9)*INDEX(TIJ,9,1)+INDEX(BIJ,17,10)*INDEX(SIE,10)*INDEX(TIJ,10,1)+INDEX(BIJ,17,11)*INDEX(SIE,11)*INDEX(TIJ,11,1)+INDEX(BIJ,17,12)*INDEX(SIE,12)*INDEX(TIJ,12,1)+INDEX(BIJ,17,13)*INDEX(SIE,13)*INDEX(TIJ,13,1)+INDEX(BIJ,17,14)*INDEX(SIE,14)*INDEX(TIJ,14,1)+INDEX(BIJ,17,15)*INDEX(SIE,15)*INDEX(TIJ,15,1)+INDEX(BIJ,17,16)*INDEX(SIE,16)*INDEX(TIJ,16,1))/(INDEX(SIE,17)-INDEX(SIE,1))</f>
        <v>6.26419374215842</v>
      </c>
      <c r="C91" s="94">
        <f>(INDEX(BIJ,17,2)*INDEX(SIE,2)*INDEX(TIJ,2,2)+INDEX(BIJ,17,3)*INDEX(SIE,3)*INDEX(TIJ,3,2)+INDEX(BIJ,17,4)*INDEX(SIE,4)*INDEX(TIJ,4,2)+INDEX(BIJ,17,5)*INDEX(SIE,5)*INDEX(TIJ,5,2)+INDEX(BIJ,17,6)*INDEX(SIE,6)*INDEX(TIJ,6,2)+INDEX(BIJ,17,7)*INDEX(SIE,7)*INDEX(TIJ,7,2)+INDEX(BIJ,17,8)*INDEX(SIE,8)*INDEX(TIJ,8,2)+INDEX(BIJ,17,9)*INDEX(SIE,9)*INDEX(TIJ,9,2)+INDEX(BIJ,17,10)*INDEX(SIE,10)*INDEX(TIJ,10,2)+INDEX(BIJ,17,11)*INDEX(SIE,11)*INDEX(TIJ,11,2)+INDEX(BIJ,17,12)*INDEX(SIE,12)*INDEX(TIJ,12,2)+INDEX(BIJ,17,13)*INDEX(SIE,13)*INDEX(TIJ,13,2)+INDEX(BIJ,17,14)*INDEX(SIE,14)*INDEX(TIJ,14,2)+INDEX(BIJ,17,15)*INDEX(SIE,15)*INDEX(TIJ,15,2)+INDEX(BIJ,17,16)*INDEX(SIE,16)*INDEX(TIJ,16,2))/(INDEX(SIE,17)-INDEX(SIE,2))</f>
        <v>0.6782704290352154</v>
      </c>
      <c r="D91" s="94">
        <f>(INDEX(BIJ,17,3)*INDEX(SIE,3)*INDEX(TIJ,3,3)+INDEX(BIJ,17,4)*INDEX(SIE,4)*INDEX(TIJ,4,3)+INDEX(BIJ,17,5)*INDEX(SIE,5)*INDEX(TIJ,5,3)+INDEX(BIJ,17,6)*INDEX(SIE,6)*INDEX(TIJ,6,3)+INDEX(BIJ,17,7)*INDEX(SIE,7)*INDEX(TIJ,7,3)+INDEX(BIJ,17,8)*INDEX(SIE,8)*INDEX(TIJ,8,3)+INDEX(BIJ,17,9)*INDEX(SIE,9)*INDEX(TIJ,9,3)+INDEX(BIJ,17,10)*INDEX(SIE,10)*INDEX(TIJ,10,3)+INDEX(BIJ,17,11)*INDEX(SIE,11)*INDEX(TIJ,11,3)+INDEX(BIJ,17,12)*INDEX(SIE,12)*INDEX(TIJ,12,3)+INDEX(BIJ,17,13)*INDEX(SIE,13)*INDEX(TIJ,13,3)+INDEX(BIJ,17,14)*INDEX(SIE,14)*INDEX(TIJ,14,3)+INDEX(BIJ,17,15)*INDEX(SIE,15)*INDEX(TIJ,15,3)+INDEX(BIJ,17,16)*INDEX(SIE,16)*INDEX(TIJ,16,3))/(INDEX(SIE,17)-INDEX(SIE,3))</f>
        <v>0.0478606072476835</v>
      </c>
      <c r="E91" s="94">
        <f>(INDEX(BIJ,17,4)*INDEX(SIE,4)*INDEX(TIJ,4,4)+INDEX(BIJ,17,5)*INDEX(SIE,5)*INDEX(TIJ,5,4)+INDEX(BIJ,17,6)*INDEX(SIE,6)*INDEX(TIJ,6,4)+INDEX(BIJ,17,7)*INDEX(SIE,7)*INDEX(TIJ,7,4)+INDEX(BIJ,17,8)*INDEX(SIE,8)*INDEX(TIJ,8,4)+INDEX(BIJ,17,9)*INDEX(SIE,9)*INDEX(TIJ,9,4)+INDEX(BIJ,17,10)*INDEX(SIE,10)*INDEX(TIJ,10,4)+INDEX(BIJ,17,11)*INDEX(SIE,11)*INDEX(TIJ,11,4)+INDEX(BIJ,17,12)*INDEX(SIE,12)*INDEX(TIJ,12,4)+INDEX(BIJ,17,13)*INDEX(SIE,13)*INDEX(TIJ,13,4)+INDEX(BIJ,17,14)*INDEX(SIE,14)*INDEX(TIJ,14,4)+INDEX(BIJ,17,15)*INDEX(SIE,15)*INDEX(TIJ,15,4)+INDEX(BIJ,17,16)*INDEX(SIE,16)*INDEX(TIJ,16,4))/(INDEX(SIE,17)-INDEX(SIE,4))</f>
        <v>0.0221070463770798</v>
      </c>
      <c r="F91" s="94">
        <f>(INDEX(BIJ,17,5)*INDEX(SIE,5)*INDEX(TIJ,5,5)+INDEX(BIJ,17,6)*INDEX(SIE,6)*INDEX(TIJ,6,5)+INDEX(BIJ,17,7)*INDEX(SIE,7)*INDEX(TIJ,7,5)+INDEX(BIJ,17,8)*INDEX(SIE,8)*INDEX(TIJ,8,5)+INDEX(BIJ,17,9)*INDEX(SIE,9)*INDEX(TIJ,9,5)+INDEX(BIJ,17,10)*INDEX(SIE,10)*INDEX(TIJ,10,5)+INDEX(BIJ,17,11)*INDEX(SIE,11)*INDEX(TIJ,11,5)+INDEX(BIJ,17,12)*INDEX(SIE,12)*INDEX(TIJ,12,5)+INDEX(BIJ,17,13)*INDEX(SIE,13)*INDEX(TIJ,13,5)+INDEX(BIJ,17,14)*INDEX(SIE,14)*INDEX(TIJ,14,5)+INDEX(BIJ,17,15)*INDEX(SIE,15)*INDEX(TIJ,15,5)+INDEX(BIJ,17,16)*INDEX(SIE,16)*INDEX(TIJ,16,5))/(INDEX(SIE,17)-INDEX(SIE,5))</f>
        <v>0.001527365987139669</v>
      </c>
      <c r="G91" s="94">
        <f>(INDEX(BIJ,17,6)*INDEX(SIE,6)*INDEX(TIJ,6,6)+INDEX(BIJ,17,7)*INDEX(SIE,7)*INDEX(TIJ,7,6)+INDEX(BIJ,17,8)*INDEX(SIE,8)*INDEX(TIJ,8,6)+INDEX(BIJ,17,9)*INDEX(SIE,9)*INDEX(TIJ,9,6)+INDEX(BIJ,17,10)*INDEX(SIE,10)*INDEX(TIJ,10,6)+INDEX(BIJ,17,11)*INDEX(SIE,11)*INDEX(TIJ,11,6)+INDEX(BIJ,17,12)*INDEX(SIE,12)*INDEX(TIJ,12,6)+INDEX(BIJ,17,13)*INDEX(SIE,13)*INDEX(TIJ,13,6)+INDEX(BIJ,17,14)*INDEX(SIE,14)*INDEX(TIJ,14,6)+INDEX(BIJ,17,15)*INDEX(SIE,15)*INDEX(TIJ,15,6)+INDEX(BIJ,17,16)*INDEX(SIE,16)*INDEX(TIJ,16,6))/(INDEX(SIE,17)-INDEX(SIE,6))</f>
        <v>-0.0002246871321800097</v>
      </c>
      <c r="H91" s="94">
        <f>(INDEX(BIJ,17,7)*INDEX(SIE,7)*INDEX(TIJ,7,7)+INDEX(BIJ,17,8)*INDEX(SIE,8)*INDEX(TIJ,8,7)+INDEX(BIJ,17,9)*INDEX(SIE,9)*INDEX(TIJ,9,7)+INDEX(BIJ,17,10)*INDEX(SIE,10)*INDEX(TIJ,10,7)+INDEX(BIJ,17,11)*INDEX(SIE,11)*INDEX(TIJ,11,7)+INDEX(BIJ,17,12)*INDEX(SIE,12)*INDEX(TIJ,12,7)+INDEX(BIJ,17,13)*INDEX(SIE,13)*INDEX(TIJ,13,7)+INDEX(BIJ,17,14)*INDEX(SIE,14)*INDEX(TIJ,14,7)+INDEX(BIJ,17,15)*INDEX(SIE,15)*INDEX(TIJ,15,7)+INDEX(BIJ,17,16)*INDEX(SIE,16)*INDEX(TIJ,16,7))/(INDEX(SIE,17)-INDEX(SIE,7))</f>
        <v>8.219736811655284E-05</v>
      </c>
      <c r="I91" s="94">
        <f>(INDEX(BIJ,17,8)*INDEX(SIE,8)*INDEX(TIJ,8,8)+INDEX(BIJ,17,9)*INDEX(SIE,9)*INDEX(TIJ,9,8)+INDEX(BIJ,17,10)*INDEX(SIE,10)*INDEX(TIJ,10,8)+INDEX(BIJ,17,11)*INDEX(SIE,11)*INDEX(TIJ,11,8)+INDEX(BIJ,17,12)*INDEX(SIE,12)*INDEX(TIJ,12,8)+INDEX(BIJ,17,13)*INDEX(SIE,13)*INDEX(TIJ,13,8)+INDEX(BIJ,17,14)*INDEX(SIE,14)*INDEX(TIJ,14,8)+INDEX(BIJ,17,15)*INDEX(SIE,15)*INDEX(TIJ,15,8)+INDEX(BIJ,17,16)*INDEX(SIE,16)*INDEX(TIJ,16,8))/(INDEX(SIE,17)-INDEX(SIE,8))</f>
        <v>-0.0011134075033558506</v>
      </c>
      <c r="J91" s="94">
        <f>(INDEX(BIJ,17,9)*INDEX(SIE,9)*INDEX(TIJ,9,9)+INDEX(BIJ,17,10)*INDEX(SIE,10)*INDEX(TIJ,10,9)+INDEX(BIJ,17,11)*INDEX(SIE,11)*INDEX(TIJ,11,9)+INDEX(BIJ,17,12)*INDEX(SIE,12)*INDEX(TIJ,12,9)+INDEX(BIJ,17,13)*INDEX(SIE,13)*INDEX(TIJ,13,9)+INDEX(BIJ,17,14)*INDEX(SIE,14)*INDEX(TIJ,14,9)+INDEX(BIJ,17,15)*INDEX(SIE,15)*INDEX(TIJ,15,9)+INDEX(BIJ,17,16)*INDEX(SIE,16)*INDEX(TIJ,16,9))/(INDEX(SIE,17)-INDEX(SIE,9))</f>
        <v>-0.0006047479210225947</v>
      </c>
      <c r="K91" s="94">
        <f>(INDEX(BIJ,17,10)*INDEX(SIE,10)*INDEX(TIJ,10,10)+INDEX(BIJ,17,11)*INDEX(SIE,11)*INDEX(TIJ,11,10)+INDEX(BIJ,17,12)*INDEX(SIE,12)*INDEX(TIJ,12,10)+INDEX(BIJ,17,13)*INDEX(SIE,13)*INDEX(TIJ,13,10)+INDEX(BIJ,17,14)*INDEX(SIE,14)*INDEX(TIJ,14,10)+INDEX(BIJ,17,15)*INDEX(SIE,15)*INDEX(TIJ,15,10)+INDEX(BIJ,17,16)*INDEX(SIE,16)*INDEX(TIJ,16,10))/(INDEX(SIE,17)-INDEX(SIE,10))</f>
        <v>-0.001150397126374822</v>
      </c>
      <c r="L91" s="94">
        <f>(INDEX(BIJ,17,11)*INDEX(SIE,11)*INDEX(TIJ,11,11)+INDEX(BIJ,17,12)*INDEX(SIE,12)*INDEX(TIJ,12,11)+INDEX(BIJ,17,13)*INDEX(SIE,13)*INDEX(TIJ,13,11)+INDEX(BIJ,17,14)*INDEX(SIE,14)*INDEX(TIJ,14,11)+INDEX(BIJ,17,15)*INDEX(SIE,15)*INDEX(TIJ,15,11)+INDEX(BIJ,17,16)*INDEX(SIE,16)*INDEX(TIJ,16,11))/(INDEX(SIE,17)-INDEX(SIE,11))</f>
        <v>-0.001179400682292569</v>
      </c>
      <c r="M91" s="94">
        <f>(INDEX(BIJ,17,12)*INDEX(SIE,12)*INDEX(TIJ,12,12)+INDEX(BIJ,17,13)*INDEX(SIE,13)*INDEX(TIJ,13,12)+INDEX(BIJ,17,14)*INDEX(SIE,14)*INDEX(TIJ,14,12)+INDEX(BIJ,17,15)*INDEX(SIE,15)*INDEX(TIJ,15,12)+INDEX(BIJ,17,16)*INDEX(SIE,16)*INDEX(TIJ,16,12))/(INDEX(SIE,17)-INDEX(SIE,12))</f>
        <v>-0.0007462972292380155</v>
      </c>
      <c r="N91" s="94">
        <f>(INDEX(BIJ,17,13)*INDEX(SIE,13)*INDEX(TIJ,13,13)+INDEX(BIJ,17,14)*INDEX(SIE,14)*INDEX(TIJ,14,13)+INDEX(BIJ,17,15)*INDEX(SIE,15)*INDEX(TIJ,15,13)+INDEX(BIJ,17,16)*INDEX(SIE,16)*INDEX(TIJ,16,13))/(INDEX(SIE,17)-INDEX(SIE,13))</f>
        <v>0.021814913012148895</v>
      </c>
      <c r="O91" s="94">
        <f>(INDEX(BIJ,17,14)*INDEX(SIE,14)*INDEX(TIJ,14,14)+INDEX(BIJ,17,15)*INDEX(SIE,15)*INDEX(TIJ,15,14)+INDEX(BIJ,17,16)*INDEX(SIE,16)*INDEX(TIJ,16,14))/(INDEX(SIE,17)-INDEX(SIE,14))</f>
        <v>-0.34236027711487277</v>
      </c>
      <c r="P91" s="94">
        <f>(INDEX(BIJ,17,15)*INDEX(SIE,15)*INDEX(TIJ,15,15)+INDEX(BIJ,17,16)*INDEX(SIE,16)*INDEX(TIJ,16,15))/(INDEX(SIE,17)-INDEX(SIE,15))</f>
        <v>1.3078879330080986</v>
      </c>
      <c r="Q91" s="94">
        <f>(INDEX(BIJ,17,16)*INDEX(SIE,16)*INDEX(TIJ,16,16))/(INDEX(SIE,17)-INDEX(SIE,16))</f>
        <v>-1.9812965013204746</v>
      </c>
      <c r="R91" s="94">
        <v>1</v>
      </c>
      <c r="S91" s="94">
        <v>0</v>
      </c>
      <c r="T91" s="94">
        <v>0</v>
      </c>
      <c r="U91" s="94">
        <v>0</v>
      </c>
      <c r="W91" s="95">
        <f t="shared" si="41"/>
        <v>17</v>
      </c>
      <c r="X91" s="94">
        <f>Model!$E27</f>
        <v>0.07901147390983694</v>
      </c>
    </row>
    <row r="92" spans="1:24" ht="12.75">
      <c r="A92" s="95">
        <f t="shared" si="40"/>
        <v>18</v>
      </c>
      <c r="B92" s="94">
        <f>(INDEX(BIJ,18,1)*INDEX(SIE,1)*INDEX(TIJ,1,1)+INDEX(BIJ,18,2)*INDEX(SIE,2)*INDEX(TIJ,2,1)+INDEX(BIJ,18,3)*INDEX(SIE,3)*INDEX(TIJ,3,1)+INDEX(BIJ,18,4)*INDEX(SIE,4)*INDEX(TIJ,4,1)+INDEX(BIJ,18,5)*INDEX(SIE,5)*INDEX(TIJ,5,1)+INDEX(BIJ,18,6)*INDEX(SIE,6)*INDEX(TIJ,6,1)+INDEX(BIJ,18,7)*INDEX(SIE,7)*INDEX(TIJ,7,1)+INDEX(BIJ,18,8)*INDEX(SIE,8)*INDEX(TIJ,8,1)+INDEX(BIJ,18,9)*INDEX(SIE,9)*INDEX(TIJ,9,1)+INDEX(BIJ,18,10)*INDEX(SIE,10)*INDEX(TIJ,10,1)+INDEX(BIJ,18,11)*INDEX(SIE,11)*INDEX(TIJ,11,1)+INDEX(BIJ,18,12)*INDEX(SIE,12)*INDEX(TIJ,12,1)+INDEX(BIJ,18,13)*INDEX(SIE,13)*INDEX(TIJ,13,1)+INDEX(BIJ,18,14)*INDEX(SIE,14)*INDEX(TIJ,14,1)+INDEX(BIJ,18,15)*INDEX(SIE,15)*INDEX(TIJ,15,1)+INDEX(BIJ,18,16)*INDEX(SIE,16)*INDEX(TIJ,16,1)+INDEX(BIJ,18,17)*INDEX(SIE,17)*INDEX(TIJ,17,1))/(INDEX(SIE,18)-INDEX(SIE,1))</f>
        <v>-0.034766180081778966</v>
      </c>
      <c r="C92" s="94">
        <f>(INDEX(BIJ,18,2)*INDEX(SIE,2)*INDEX(TIJ,2,2)+INDEX(BIJ,18,3)*INDEX(SIE,3)*INDEX(TIJ,3,2)+INDEX(BIJ,18,4)*INDEX(SIE,4)*INDEX(TIJ,4,2)+INDEX(BIJ,18,5)*INDEX(SIE,5)*INDEX(TIJ,5,2)+INDEX(BIJ,18,6)*INDEX(SIE,6)*INDEX(TIJ,6,2)+INDEX(BIJ,18,7)*INDEX(SIE,7)*INDEX(TIJ,7,2)+INDEX(BIJ,18,8)*INDEX(SIE,8)*INDEX(TIJ,8,2)+INDEX(BIJ,18,9)*INDEX(SIE,9)*INDEX(TIJ,9,2)+INDEX(BIJ,18,10)*INDEX(SIE,10)*INDEX(TIJ,10,2)+INDEX(BIJ,18,11)*INDEX(SIE,11)*INDEX(TIJ,11,2)+INDEX(BIJ,18,12)*INDEX(SIE,12)*INDEX(TIJ,12,2)+INDEX(BIJ,18,13)*INDEX(SIE,13)*INDEX(TIJ,13,2)+INDEX(BIJ,18,14)*INDEX(SIE,14)*INDEX(TIJ,14,2)+INDEX(BIJ,18,15)*INDEX(SIE,15)*INDEX(TIJ,15,2)+INDEX(BIJ,18,16)*INDEX(SIE,16)*INDEX(TIJ,16,2)+INDEX(BIJ,18,17)*INDEX(SIE,17)*INDEX(TIJ,17,2))/(INDEX(SIE,18)-INDEX(SIE,2))</f>
        <v>0.3105459145690675</v>
      </c>
      <c r="D92" s="94">
        <f>(INDEX(BIJ,18,3)*INDEX(SIE,3)*INDEX(TIJ,3,3)+INDEX(BIJ,18,4)*INDEX(SIE,4)*INDEX(TIJ,4,3)+INDEX(BIJ,18,5)*INDEX(SIE,5)*INDEX(TIJ,5,3)+INDEX(BIJ,18,6)*INDEX(SIE,6)*INDEX(TIJ,6,3)+INDEX(BIJ,18,7)*INDEX(SIE,7)*INDEX(TIJ,7,3)+INDEX(BIJ,18,8)*INDEX(SIE,8)*INDEX(TIJ,8,3)+INDEX(BIJ,18,9)*INDEX(SIE,9)*INDEX(TIJ,9,3)+INDEX(BIJ,18,10)*INDEX(SIE,10)*INDEX(TIJ,10,3)+INDEX(BIJ,18,11)*INDEX(SIE,11)*INDEX(TIJ,11,3)+INDEX(BIJ,18,12)*INDEX(SIE,12)*INDEX(TIJ,12,3)+INDEX(BIJ,18,13)*INDEX(SIE,13)*INDEX(TIJ,13,3)+INDEX(BIJ,18,14)*INDEX(SIE,14)*INDEX(TIJ,14,3)+INDEX(BIJ,18,15)*INDEX(SIE,15)*INDEX(TIJ,15,3)+INDEX(BIJ,18,16)*INDEX(SIE,16)*INDEX(TIJ,16,3)+INDEX(BIJ,18,17)*INDEX(SIE,17)*INDEX(TIJ,17,3))/(INDEX(SIE,18)-INDEX(SIE,3))</f>
        <v>0.02214440126019013</v>
      </c>
      <c r="E92" s="94">
        <f>(INDEX(BIJ,18,4)*INDEX(SIE,4)*INDEX(TIJ,4,4)+INDEX(BIJ,18,5)*INDEX(SIE,5)*INDEX(TIJ,5,4)+INDEX(BIJ,18,6)*INDEX(SIE,6)*INDEX(TIJ,6,4)+INDEX(BIJ,18,7)*INDEX(SIE,7)*INDEX(TIJ,7,4)+INDEX(BIJ,18,8)*INDEX(SIE,8)*INDEX(TIJ,8,4)+INDEX(BIJ,18,9)*INDEX(SIE,9)*INDEX(TIJ,9,4)+INDEX(BIJ,18,10)*INDEX(SIE,10)*INDEX(TIJ,10,4)+INDEX(BIJ,18,11)*INDEX(SIE,11)*INDEX(TIJ,11,4)+INDEX(BIJ,18,12)*INDEX(SIE,12)*INDEX(TIJ,12,4)+INDEX(BIJ,18,13)*INDEX(SIE,13)*INDEX(TIJ,13,4)+INDEX(BIJ,18,14)*INDEX(SIE,14)*INDEX(TIJ,14,4)+INDEX(BIJ,18,15)*INDEX(SIE,15)*INDEX(TIJ,15,4)+INDEX(BIJ,18,16)*INDEX(SIE,16)*INDEX(TIJ,16,4)+INDEX(BIJ,18,17)*INDEX(SIE,17)*INDEX(TIJ,17,4))/(INDEX(SIE,18)-INDEX(SIE,4))</f>
        <v>0.010285593708685953</v>
      </c>
      <c r="F92" s="94">
        <f>(INDEX(BIJ,18,5)*INDEX(SIE,5)*INDEX(TIJ,5,5)+INDEX(BIJ,18,6)*INDEX(SIE,6)*INDEX(TIJ,6,5)+INDEX(BIJ,18,7)*INDEX(SIE,7)*INDEX(TIJ,7,5)+INDEX(BIJ,18,8)*INDEX(SIE,8)*INDEX(TIJ,8,5)+INDEX(BIJ,18,9)*INDEX(SIE,9)*INDEX(TIJ,9,5)+INDEX(BIJ,18,10)*INDEX(SIE,10)*INDEX(TIJ,10,5)+INDEX(BIJ,18,11)*INDEX(SIE,11)*INDEX(TIJ,11,5)+INDEX(BIJ,18,12)*INDEX(SIE,12)*INDEX(TIJ,12,5)+INDEX(BIJ,18,13)*INDEX(SIE,13)*INDEX(TIJ,13,5)+INDEX(BIJ,18,14)*INDEX(SIE,14)*INDEX(TIJ,14,5)+INDEX(BIJ,18,15)*INDEX(SIE,15)*INDEX(TIJ,15,5)+INDEX(BIJ,18,16)*INDEX(SIE,16)*INDEX(TIJ,16,5)+INDEX(BIJ,18,17)*INDEX(SIE,17)*INDEX(TIJ,17,5))/(INDEX(SIE,18)-INDEX(SIE,5))</f>
        <v>0.0007111329446142913</v>
      </c>
      <c r="G92" s="94">
        <f>(INDEX(BIJ,18,6)*INDEX(SIE,6)*INDEX(TIJ,6,6)+INDEX(BIJ,18,7)*INDEX(SIE,7)*INDEX(TIJ,7,6)+INDEX(BIJ,18,8)*INDEX(SIE,8)*INDEX(TIJ,8,6)+INDEX(BIJ,18,9)*INDEX(SIE,9)*INDEX(TIJ,9,6)+INDEX(BIJ,18,10)*INDEX(SIE,10)*INDEX(TIJ,10,6)+INDEX(BIJ,18,11)*INDEX(SIE,11)*INDEX(TIJ,11,6)+INDEX(BIJ,18,12)*INDEX(SIE,12)*INDEX(TIJ,12,6)+INDEX(BIJ,18,13)*INDEX(SIE,13)*INDEX(TIJ,13,6)+INDEX(BIJ,18,14)*INDEX(SIE,14)*INDEX(TIJ,14,6)+INDEX(BIJ,18,15)*INDEX(SIE,15)*INDEX(TIJ,15,6)+INDEX(BIJ,18,16)*INDEX(SIE,16)*INDEX(TIJ,16,6)+INDEX(BIJ,18,17)*INDEX(SIE,17)*INDEX(TIJ,17,6))/(INDEX(SIE,18)-INDEX(SIE,6))</f>
        <v>-0.00010445048486871758</v>
      </c>
      <c r="H92" s="94">
        <f>(INDEX(BIJ,18,7)*INDEX(SIE,7)*INDEX(TIJ,7,7)+INDEX(BIJ,18,8)*INDEX(SIE,8)*INDEX(TIJ,8,7)+INDEX(BIJ,18,9)*INDEX(SIE,9)*INDEX(TIJ,9,7)+INDEX(BIJ,18,10)*INDEX(SIE,10)*INDEX(TIJ,10,7)+INDEX(BIJ,18,11)*INDEX(SIE,11)*INDEX(TIJ,11,7)+INDEX(BIJ,18,12)*INDEX(SIE,12)*INDEX(TIJ,12,7)+INDEX(BIJ,18,13)*INDEX(SIE,13)*INDEX(TIJ,13,7)+INDEX(BIJ,18,14)*INDEX(SIE,14)*INDEX(TIJ,14,7)+INDEX(BIJ,18,15)*INDEX(SIE,15)*INDEX(TIJ,15,7)+INDEX(BIJ,18,16)*INDEX(SIE,16)*INDEX(TIJ,16,7)+INDEX(BIJ,18,17)*INDEX(SIE,17)*INDEX(TIJ,17,7))/(INDEX(SIE,18)-INDEX(SIE,7))</f>
        <v>3.80658004903095E-05</v>
      </c>
      <c r="I92" s="94">
        <f>(INDEX(BIJ,18,8)*INDEX(SIE,8)*INDEX(TIJ,8,8)+INDEX(BIJ,18,9)*INDEX(SIE,9)*INDEX(TIJ,9,8)+INDEX(BIJ,18,10)*INDEX(SIE,10)*INDEX(TIJ,10,8)+INDEX(BIJ,18,11)*INDEX(SIE,11)*INDEX(TIJ,11,8)+INDEX(BIJ,18,12)*INDEX(SIE,12)*INDEX(TIJ,12,8)+INDEX(BIJ,18,13)*INDEX(SIE,13)*INDEX(TIJ,13,8)+INDEX(BIJ,18,14)*INDEX(SIE,14)*INDEX(TIJ,14,8)+INDEX(BIJ,18,15)*INDEX(SIE,15)*INDEX(TIJ,15,8)+INDEX(BIJ,18,16)*INDEX(SIE,16)*INDEX(TIJ,16,8)+INDEX(BIJ,18,17)*INDEX(SIE,17)*INDEX(TIJ,17,8))/(INDEX(SIE,18)-INDEX(SIE,8))</f>
        <v>-0.0005136826021835111</v>
      </c>
      <c r="J92" s="94">
        <f>(INDEX(BIJ,18,9)*INDEX(SIE,9)*INDEX(TIJ,9,9)+INDEX(BIJ,18,10)*INDEX(SIE,10)*INDEX(TIJ,10,9)+INDEX(BIJ,18,11)*INDEX(SIE,11)*INDEX(TIJ,11,9)+INDEX(BIJ,18,12)*INDEX(SIE,12)*INDEX(TIJ,12,9)+INDEX(BIJ,18,13)*INDEX(SIE,13)*INDEX(TIJ,13,9)+INDEX(BIJ,18,14)*INDEX(SIE,14)*INDEX(TIJ,14,9)+INDEX(BIJ,18,15)*INDEX(SIE,15)*INDEX(TIJ,15,9)+INDEX(BIJ,18,16)*INDEX(SIE,16)*INDEX(TIJ,16,9)+INDEX(BIJ,18,17)*INDEX(SIE,17)*INDEX(TIJ,17,9))/(INDEX(SIE,18)-INDEX(SIE,9))</f>
        <v>-0.0002778508335192438</v>
      </c>
      <c r="K92" s="94">
        <f>(INDEX(BIJ,18,10)*INDEX(SIE,10)*INDEX(TIJ,10,10)+INDEX(BIJ,18,11)*INDEX(SIE,11)*INDEX(TIJ,11,10)+INDEX(BIJ,18,12)*INDEX(SIE,12)*INDEX(TIJ,12,10)+INDEX(BIJ,18,13)*INDEX(SIE,13)*INDEX(TIJ,13,10)+INDEX(BIJ,18,14)*INDEX(SIE,14)*INDEX(TIJ,14,10)+INDEX(BIJ,18,15)*INDEX(SIE,15)*INDEX(TIJ,15,10)+INDEX(BIJ,18,16)*INDEX(SIE,16)*INDEX(TIJ,16,10)+INDEX(BIJ,18,17)*INDEX(SIE,17)*INDEX(TIJ,17,10))/(INDEX(SIE,18)-INDEX(SIE,10))</f>
        <v>-0.000526780414630675</v>
      </c>
      <c r="L92" s="94">
        <f>(INDEX(BIJ,18,11)*INDEX(SIE,11)*INDEX(TIJ,11,11)+INDEX(BIJ,18,12)*INDEX(SIE,12)*INDEX(TIJ,12,11)+INDEX(BIJ,18,13)*INDEX(SIE,13)*INDEX(TIJ,13,11)+INDEX(BIJ,18,14)*INDEX(SIE,14)*INDEX(TIJ,14,11)+INDEX(BIJ,18,15)*INDEX(SIE,15)*INDEX(TIJ,15,11)+INDEX(BIJ,18,16)*INDEX(SIE,16)*INDEX(TIJ,16,11)+INDEX(BIJ,18,17)*INDEX(SIE,17)*INDEX(TIJ,17,11))/(INDEX(SIE,18)-INDEX(SIE,11))</f>
        <v>-0.0005580500878854337</v>
      </c>
      <c r="M92" s="94">
        <f>(INDEX(BIJ,18,12)*INDEX(SIE,12)*INDEX(TIJ,12,12)+INDEX(BIJ,18,13)*INDEX(SIE,13)*INDEX(TIJ,13,12)+INDEX(BIJ,18,14)*INDEX(SIE,14)*INDEX(TIJ,14,12)+INDEX(BIJ,18,15)*INDEX(SIE,15)*INDEX(TIJ,15,12)+INDEX(BIJ,18,16)*INDEX(SIE,16)*INDEX(TIJ,16,12)+INDEX(BIJ,18,17)*INDEX(SIE,17)*INDEX(TIJ,17,12))/(INDEX(SIE,18)-INDEX(SIE,12))</f>
        <v>-0.0006477907739227707</v>
      </c>
      <c r="N92" s="94">
        <f>(INDEX(BIJ,18,13)*INDEX(SIE,13)*INDEX(TIJ,13,13)+INDEX(BIJ,18,14)*INDEX(SIE,14)*INDEX(TIJ,14,13)+INDEX(BIJ,18,15)*INDEX(SIE,15)*INDEX(TIJ,15,13)+INDEX(BIJ,18,16)*INDEX(SIE,16)*INDEX(TIJ,16,13)+INDEX(BIJ,18,17)*INDEX(SIE,17)*INDEX(TIJ,17,13))/(INDEX(SIE,18)-INDEX(SIE,13))</f>
        <v>-0.00025945479807878665</v>
      </c>
      <c r="O92" s="94">
        <f>(INDEX(BIJ,18,14)*INDEX(SIE,14)*INDEX(TIJ,14,14)+INDEX(BIJ,18,15)*INDEX(SIE,15)*INDEX(TIJ,15,14)+INDEX(BIJ,18,16)*INDEX(SIE,16)*INDEX(TIJ,16,14)+INDEX(BIJ,18,17)*INDEX(SIE,17)*INDEX(TIJ,17,14))/(INDEX(SIE,18)-INDEX(SIE,14))</f>
        <v>0.016425334123109096</v>
      </c>
      <c r="P92" s="94">
        <f>(INDEX(BIJ,18,15)*INDEX(SIE,15)*INDEX(TIJ,15,15)+INDEX(BIJ,18,16)*INDEX(SIE,16)*INDEX(TIJ,16,15)+INDEX(BIJ,18,17)*INDEX(SIE,17)*INDEX(TIJ,17,15))/(INDEX(SIE,18)-INDEX(SIE,15))</f>
        <v>-0.24943627713808883</v>
      </c>
      <c r="Q92" s="94">
        <f>(INDEX(BIJ,18,16)*INDEX(SIE,16)*INDEX(TIJ,16,16)+INDEX(BIJ,18,17)*INDEX(SIE,17)*INDEX(TIJ,17,16))/(INDEX(SIE,18)-INDEX(SIE,16))</f>
        <v>0.9905751550411047</v>
      </c>
      <c r="R92" s="94">
        <f>(INDEX(BIJ,18,17)*INDEX(SIE,17)*INDEX(TIJ,17,17))/(INDEX(SIE,18)-INDEX(SIE,17))</f>
        <v>-1.6942110184813557</v>
      </c>
      <c r="S92" s="94">
        <v>1</v>
      </c>
      <c r="T92" s="94">
        <v>0</v>
      </c>
      <c r="U92" s="94">
        <v>0</v>
      </c>
      <c r="W92" s="95">
        <f t="shared" si="41"/>
        <v>18</v>
      </c>
      <c r="X92" s="94">
        <f>Model!$E28</f>
        <v>0.06383322083740729</v>
      </c>
    </row>
    <row r="93" spans="1:24" ht="12.75">
      <c r="A93" s="95">
        <f t="shared" si="40"/>
        <v>19</v>
      </c>
      <c r="B93" s="94">
        <f>(INDEX(BIJ,19,1)*INDEX(SIE,1)*INDEX(TIJ,1,1)+INDEX(BIJ,19,2)*INDEX(SIE,2)*INDEX(TIJ,2,1)+INDEX(BIJ,19,3)*INDEX(SIE,3)*INDEX(TIJ,3,1)+INDEX(BIJ,19,4)*INDEX(SIE,4)*INDEX(TIJ,4,1)+INDEX(BIJ,19,5)*INDEX(SIE,5)*INDEX(TIJ,5,1)+INDEX(BIJ,19,6)*INDEX(SIE,6)*INDEX(TIJ,6,1)+INDEX(BIJ,19,7)*INDEX(SIE,7)*INDEX(TIJ,7,1)+INDEX(BIJ,19,8)*INDEX(SIE,8)*INDEX(TIJ,8,1)+INDEX(BIJ,19,9)*INDEX(SIE,9)*INDEX(TIJ,9,1)+INDEX(BIJ,19,10)*INDEX(SIE,10)*INDEX(TIJ,10,1)+INDEX(BIJ,19,11)*INDEX(SIE,11)*INDEX(TIJ,11,1)+INDEX(BIJ,19,12)*INDEX(SIE,12)*INDEX(TIJ,12,1)+INDEX(BIJ,19,13)*INDEX(SIE,13)*INDEX(TIJ,13,1)+INDEX(BIJ,19,14)*INDEX(SIE,14)*INDEX(TIJ,14,1)+INDEX(BIJ,19,15)*INDEX(SIE,15)*INDEX(TIJ,15,1)+INDEX(BIJ,19,16)*INDEX(SIE,16)*INDEX(TIJ,16,1)+INDEX(BIJ,19,17)*INDEX(SIE,17)*INDEX(TIJ,17,1)+INDEX(BIJ,19,18)*INDEX(SIE,18)*INDEX(TIJ,18,1))/(INDEX(SIE,19)-INDEX(SIE,1))</f>
        <v>-0.11077624322224869</v>
      </c>
      <c r="C93" s="94">
        <f>(INDEX(BIJ,19,2)*INDEX(SIE,2)*INDEX(TIJ,2,2)+INDEX(BIJ,19,3)*INDEX(SIE,3)*INDEX(TIJ,3,2)+INDEX(BIJ,19,4)*INDEX(SIE,4)*INDEX(TIJ,4,2)+INDEX(BIJ,19,5)*INDEX(SIE,5)*INDEX(TIJ,5,2)+INDEX(BIJ,19,6)*INDEX(SIE,6)*INDEX(TIJ,6,2)+INDEX(BIJ,19,7)*INDEX(SIE,7)*INDEX(TIJ,7,2)+INDEX(BIJ,19,8)*INDEX(SIE,8)*INDEX(TIJ,8,2)+INDEX(BIJ,19,9)*INDEX(SIE,9)*INDEX(TIJ,9,2)+INDEX(BIJ,19,10)*INDEX(SIE,10)*INDEX(TIJ,10,2)+INDEX(BIJ,19,11)*INDEX(SIE,11)*INDEX(TIJ,11,2)+INDEX(BIJ,19,12)*INDEX(SIE,12)*INDEX(TIJ,12,2)+INDEX(BIJ,19,13)*INDEX(SIE,13)*INDEX(TIJ,13,2)+INDEX(BIJ,19,14)*INDEX(SIE,14)*INDEX(TIJ,14,2)+INDEX(BIJ,19,15)*INDEX(SIE,15)*INDEX(TIJ,15,2)+INDEX(BIJ,19,16)*INDEX(SIE,16)*INDEX(TIJ,16,2)+INDEX(BIJ,19,17)*INDEX(SIE,17)*INDEX(TIJ,17,2)+INDEX(BIJ,19,18)*INDEX(SIE,18)*INDEX(TIJ,18,2))/(INDEX(SIE,19)-INDEX(SIE,2))</f>
        <v>0.2689664920362115</v>
      </c>
      <c r="D93" s="94">
        <f>(INDEX(BIJ,19,3)*INDEX(SIE,3)*INDEX(TIJ,3,3)+INDEX(BIJ,19,4)*INDEX(SIE,4)*INDEX(TIJ,4,3)+INDEX(BIJ,19,5)*INDEX(SIE,5)*INDEX(TIJ,5,3)+INDEX(BIJ,19,6)*INDEX(SIE,6)*INDEX(TIJ,6,3)+INDEX(BIJ,19,7)*INDEX(SIE,7)*INDEX(TIJ,7,3)+INDEX(BIJ,19,8)*INDEX(SIE,8)*INDEX(TIJ,8,3)+INDEX(BIJ,19,9)*INDEX(SIE,9)*INDEX(TIJ,9,3)+INDEX(BIJ,19,10)*INDEX(SIE,10)*INDEX(TIJ,10,3)+INDEX(BIJ,19,11)*INDEX(SIE,11)*INDEX(TIJ,11,3)+INDEX(BIJ,19,12)*INDEX(SIE,12)*INDEX(TIJ,12,3)+INDEX(BIJ,19,13)*INDEX(SIE,13)*INDEX(TIJ,13,3)+INDEX(BIJ,19,14)*INDEX(SIE,14)*INDEX(TIJ,14,3)+INDEX(BIJ,19,15)*INDEX(SIE,15)*INDEX(TIJ,15,3)+INDEX(BIJ,19,16)*INDEX(SIE,16)*INDEX(TIJ,16,3)+INDEX(BIJ,19,17)*INDEX(SIE,17)*INDEX(TIJ,17,3)+INDEX(BIJ,19,18)*INDEX(SIE,18)*INDEX(TIJ,18,3))/(INDEX(SIE,19)-INDEX(SIE,3))</f>
        <v>0.01899842994798421</v>
      </c>
      <c r="E93" s="94">
        <f>(INDEX(BIJ,19,4)*INDEX(SIE,4)*INDEX(TIJ,4,4)+INDEX(BIJ,19,5)*INDEX(SIE,5)*INDEX(TIJ,5,4)+INDEX(BIJ,19,6)*INDEX(SIE,6)*INDEX(TIJ,6,4)+INDEX(BIJ,19,7)*INDEX(SIE,7)*INDEX(TIJ,7,4)+INDEX(BIJ,19,8)*INDEX(SIE,8)*INDEX(TIJ,8,4)+INDEX(BIJ,19,9)*INDEX(SIE,9)*INDEX(TIJ,9,4)+INDEX(BIJ,19,10)*INDEX(SIE,10)*INDEX(TIJ,10,4)+INDEX(BIJ,19,11)*INDEX(SIE,11)*INDEX(TIJ,11,4)+INDEX(BIJ,19,12)*INDEX(SIE,12)*INDEX(TIJ,12,4)+INDEX(BIJ,19,13)*INDEX(SIE,13)*INDEX(TIJ,13,4)+INDEX(BIJ,19,14)*INDEX(SIE,14)*INDEX(TIJ,14,4)+INDEX(BIJ,19,15)*INDEX(SIE,15)*INDEX(TIJ,15,4)+INDEX(BIJ,19,16)*INDEX(SIE,16)*INDEX(TIJ,16,4)+INDEX(BIJ,19,17)*INDEX(SIE,17)*INDEX(TIJ,17,4)+INDEX(BIJ,19,18)*INDEX(SIE,18)*INDEX(TIJ,18,4))/(INDEX(SIE,19)-INDEX(SIE,4))</f>
        <v>0.008805801281794975</v>
      </c>
      <c r="F93" s="94">
        <f>(INDEX(BIJ,19,5)*INDEX(SIE,5)*INDEX(TIJ,5,5)+INDEX(BIJ,19,6)*INDEX(SIE,6)*INDEX(TIJ,6,5)+INDEX(BIJ,19,7)*INDEX(SIE,7)*INDEX(TIJ,7,5)+INDEX(BIJ,19,8)*INDEX(SIE,8)*INDEX(TIJ,8,5)+INDEX(BIJ,19,9)*INDEX(SIE,9)*INDEX(TIJ,9,5)+INDEX(BIJ,19,10)*INDEX(SIE,10)*INDEX(TIJ,10,5)+INDEX(BIJ,19,11)*INDEX(SIE,11)*INDEX(TIJ,11,5)+INDEX(BIJ,19,12)*INDEX(SIE,12)*INDEX(TIJ,12,5)+INDEX(BIJ,19,13)*INDEX(SIE,13)*INDEX(TIJ,13,5)+INDEX(BIJ,19,14)*INDEX(SIE,14)*INDEX(TIJ,14,5)+INDEX(BIJ,19,15)*INDEX(SIE,15)*INDEX(TIJ,15,5)+INDEX(BIJ,19,16)*INDEX(SIE,16)*INDEX(TIJ,16,5)+INDEX(BIJ,19,17)*INDEX(SIE,17)*INDEX(TIJ,17,5)+INDEX(BIJ,19,18)*INDEX(SIE,18)*INDEX(TIJ,18,5))/(INDEX(SIE,19)-INDEX(SIE,5))</f>
        <v>0.0006086624949423481</v>
      </c>
      <c r="G93" s="94">
        <f>(INDEX(BIJ,19,6)*INDEX(SIE,6)*INDEX(TIJ,6,6)+INDEX(BIJ,19,7)*INDEX(SIE,7)*INDEX(TIJ,7,6)+INDEX(BIJ,19,8)*INDEX(SIE,8)*INDEX(TIJ,8,6)+INDEX(BIJ,19,9)*INDEX(SIE,9)*INDEX(TIJ,9,6)+INDEX(BIJ,19,10)*INDEX(SIE,10)*INDEX(TIJ,10,6)+INDEX(BIJ,19,11)*INDEX(SIE,11)*INDEX(TIJ,11,6)+INDEX(BIJ,19,12)*INDEX(SIE,12)*INDEX(TIJ,12,6)+INDEX(BIJ,19,13)*INDEX(SIE,13)*INDEX(TIJ,13,6)+INDEX(BIJ,19,14)*INDEX(SIE,14)*INDEX(TIJ,14,6)+INDEX(BIJ,19,15)*INDEX(SIE,15)*INDEX(TIJ,15,6)+INDEX(BIJ,19,16)*INDEX(SIE,16)*INDEX(TIJ,16,6)+INDEX(BIJ,19,17)*INDEX(SIE,17)*INDEX(TIJ,17,6)+INDEX(BIJ,19,18)*INDEX(SIE,18)*INDEX(TIJ,18,6))/(INDEX(SIE,19)-INDEX(SIE,6))</f>
        <v>-8.945120816682385E-05</v>
      </c>
      <c r="H93" s="94">
        <f>(INDEX(BIJ,19,7)*INDEX(SIE,7)*INDEX(TIJ,7,7)+INDEX(BIJ,19,8)*INDEX(SIE,8)*INDEX(TIJ,8,7)+INDEX(BIJ,19,9)*INDEX(SIE,9)*INDEX(TIJ,9,7)+INDEX(BIJ,19,10)*INDEX(SIE,10)*INDEX(TIJ,10,7)+INDEX(BIJ,19,11)*INDEX(SIE,11)*INDEX(TIJ,11,7)+INDEX(BIJ,19,12)*INDEX(SIE,12)*INDEX(TIJ,12,7)+INDEX(BIJ,19,13)*INDEX(SIE,13)*INDEX(TIJ,13,7)+INDEX(BIJ,19,14)*INDEX(SIE,14)*INDEX(TIJ,14,7)+INDEX(BIJ,19,15)*INDEX(SIE,15)*INDEX(TIJ,15,7)+INDEX(BIJ,19,16)*INDEX(SIE,16)*INDEX(TIJ,16,7)+INDEX(BIJ,19,17)*INDEX(SIE,17)*INDEX(TIJ,17,7)+INDEX(BIJ,19,18)*INDEX(SIE,18)*INDEX(TIJ,18,7))/(INDEX(SIE,19)-INDEX(SIE,7))</f>
        <v>3.26318990411781E-05</v>
      </c>
      <c r="I93" s="94">
        <f>(INDEX(BIJ,19,8)*INDEX(SIE,8)*INDEX(TIJ,8,8)+INDEX(BIJ,19,9)*INDEX(SIE,9)*INDEX(TIJ,9,8)+INDEX(BIJ,19,10)*INDEX(SIE,10)*INDEX(TIJ,10,8)+INDEX(BIJ,19,11)*INDEX(SIE,11)*INDEX(TIJ,11,8)+INDEX(BIJ,19,12)*INDEX(SIE,12)*INDEX(TIJ,12,8)+INDEX(BIJ,19,13)*INDEX(SIE,13)*INDEX(TIJ,13,8)+INDEX(BIJ,19,14)*INDEX(SIE,14)*INDEX(TIJ,14,8)+INDEX(BIJ,19,15)*INDEX(SIE,15)*INDEX(TIJ,15,8)+INDEX(BIJ,19,16)*INDEX(SIE,16)*INDEX(TIJ,16,8)+INDEX(BIJ,19,17)*INDEX(SIE,17)*INDEX(TIJ,17,8)+INDEX(BIJ,19,18)*INDEX(SIE,18)*INDEX(TIJ,18,8))/(INDEX(SIE,19)-INDEX(SIE,8))</f>
        <v>-0.00044127180738474025</v>
      </c>
      <c r="J93" s="94">
        <f>(INDEX(BIJ,19,9)*INDEX(SIE,9)*INDEX(TIJ,9,9)+INDEX(BIJ,19,10)*INDEX(SIE,10)*INDEX(TIJ,10,9)+INDEX(BIJ,19,11)*INDEX(SIE,11)*INDEX(TIJ,11,9)+INDEX(BIJ,19,12)*INDEX(SIE,12)*INDEX(TIJ,12,9)+INDEX(BIJ,19,13)*INDEX(SIE,13)*INDEX(TIJ,13,9)+INDEX(BIJ,19,14)*INDEX(SIE,14)*INDEX(TIJ,14,9)+INDEX(BIJ,19,15)*INDEX(SIE,15)*INDEX(TIJ,15,9)+INDEX(BIJ,19,16)*INDEX(SIE,16)*INDEX(TIJ,16,9)+INDEX(BIJ,19,17)*INDEX(SIE,17)*INDEX(TIJ,17,9)+INDEX(BIJ,19,18)*INDEX(SIE,18)*INDEX(TIJ,18,9))/(INDEX(SIE,19)-INDEX(SIE,9))</f>
        <v>-0.00023947405159602305</v>
      </c>
      <c r="K93" s="94">
        <f>(INDEX(BIJ,19,10)*INDEX(SIE,10)*INDEX(TIJ,10,10)+INDEX(BIJ,19,11)*INDEX(SIE,11)*INDEX(TIJ,11,10)+INDEX(BIJ,19,12)*INDEX(SIE,12)*INDEX(TIJ,12,10)+INDEX(BIJ,19,13)*INDEX(SIE,13)*INDEX(TIJ,13,10)+INDEX(BIJ,19,14)*INDEX(SIE,14)*INDEX(TIJ,14,10)+INDEX(BIJ,19,15)*INDEX(SIE,15)*INDEX(TIJ,15,10)+INDEX(BIJ,19,16)*INDEX(SIE,16)*INDEX(TIJ,16,10)+INDEX(BIJ,19,17)*INDEX(SIE,17)*INDEX(TIJ,17,10)+INDEX(BIJ,19,18)*INDEX(SIE,18)*INDEX(TIJ,18,10))/(INDEX(SIE,19)-INDEX(SIE,10))</f>
        <v>-0.00045634658247206044</v>
      </c>
      <c r="L93" s="94">
        <f>(INDEX(BIJ,19,11)*INDEX(SIE,11)*INDEX(TIJ,11,11)+INDEX(BIJ,19,12)*INDEX(SIE,12)*INDEX(TIJ,12,11)+INDEX(BIJ,19,13)*INDEX(SIE,13)*INDEX(TIJ,13,11)+INDEX(BIJ,19,14)*INDEX(SIE,14)*INDEX(TIJ,14,11)+INDEX(BIJ,19,15)*INDEX(SIE,15)*INDEX(TIJ,15,11)+INDEX(BIJ,19,16)*INDEX(SIE,16)*INDEX(TIJ,16,11)+INDEX(BIJ,19,17)*INDEX(SIE,17)*INDEX(TIJ,17,11)+INDEX(BIJ,19,18)*INDEX(SIE,18)*INDEX(TIJ,18,11))/(INDEX(SIE,19)-INDEX(SIE,11))</f>
        <v>-0.0004899080350144498</v>
      </c>
      <c r="M93" s="94">
        <f>(INDEX(BIJ,19,12)*INDEX(SIE,12)*INDEX(TIJ,12,12)+INDEX(BIJ,19,13)*INDEX(SIE,13)*INDEX(TIJ,13,12)+INDEX(BIJ,19,14)*INDEX(SIE,14)*INDEX(TIJ,14,12)+INDEX(BIJ,19,15)*INDEX(SIE,15)*INDEX(TIJ,15,12)+INDEX(BIJ,19,16)*INDEX(SIE,16)*INDEX(TIJ,16,12)+INDEX(BIJ,19,17)*INDEX(SIE,17)*INDEX(TIJ,17,12)+INDEX(BIJ,19,18)*INDEX(SIE,18)*INDEX(TIJ,18,12))/(INDEX(SIE,19)-INDEX(SIE,12))</f>
        <v>-0.0006013623863041876</v>
      </c>
      <c r="N93" s="94">
        <f>(INDEX(BIJ,19,13)*INDEX(SIE,13)*INDEX(TIJ,13,13)+INDEX(BIJ,19,14)*INDEX(SIE,14)*INDEX(TIJ,14,13)+INDEX(BIJ,19,15)*INDEX(SIE,15)*INDEX(TIJ,15,13)+INDEX(BIJ,19,16)*INDEX(SIE,16)*INDEX(TIJ,16,13)+INDEX(BIJ,19,17)*INDEX(SIE,17)*INDEX(TIJ,17,13)+INDEX(BIJ,19,18)*INDEX(SIE,18)*INDEX(TIJ,18,13))/(INDEX(SIE,19)-INDEX(SIE,13))</f>
        <v>-0.0005612786526744485</v>
      </c>
      <c r="O93" s="94">
        <f>(INDEX(BIJ,19,14)*INDEX(SIE,14)*INDEX(TIJ,14,14)+INDEX(BIJ,19,15)*INDEX(SIE,15)*INDEX(TIJ,15,14)+INDEX(BIJ,19,16)*INDEX(SIE,16)*INDEX(TIJ,16,14)+INDEX(BIJ,19,17)*INDEX(SIE,17)*INDEX(TIJ,17,14)+INDEX(BIJ,19,18)*INDEX(SIE,18)*INDEX(TIJ,18,14))/(INDEX(SIE,19)-INDEX(SIE,14))</f>
        <v>0.003961058474611904</v>
      </c>
      <c r="P93" s="94">
        <f>(INDEX(BIJ,19,15)*INDEX(SIE,15)*INDEX(TIJ,15,15)+INDEX(BIJ,19,16)*INDEX(SIE,16)*INDEX(TIJ,16,15)+INDEX(BIJ,19,17)*INDEX(SIE,17)*INDEX(TIJ,17,15)+INDEX(BIJ,19,18)*INDEX(SIE,18)*INDEX(TIJ,18,15))/(INDEX(SIE,19)-INDEX(SIE,15))</f>
        <v>-0.04653788659604704</v>
      </c>
      <c r="Q93" s="94">
        <f>(INDEX(BIJ,19,16)*INDEX(SIE,16)*INDEX(TIJ,16,16)+INDEX(BIJ,19,17)*INDEX(SIE,17)*INDEX(TIJ,17,16)+INDEX(BIJ,19,18)*INDEX(SIE,18)*INDEX(TIJ,18,16))/(INDEX(SIE,19)-INDEX(SIE,16))</f>
        <v>-0.007288167324877917</v>
      </c>
      <c r="R93" s="94">
        <f>(INDEX(BIJ,19,17)*INDEX(SIE,17)*INDEX(TIJ,17,17)+INDEX(BIJ,19,18)*INDEX(SIE,18)*INDEX(TIJ,18,17))/(INDEX(SIE,19)-INDEX(SIE,17))</f>
        <v>0.8666353071094917</v>
      </c>
      <c r="S93" s="94">
        <f>(INDEX(BIJ,19,18)*INDEX(SIE,18)*INDEX(TIJ,18,18))/(INDEX(SIE,19)-INDEX(SIE,18))</f>
        <v>-2.309466123596454</v>
      </c>
      <c r="T93" s="94">
        <v>1</v>
      </c>
      <c r="U93" s="94">
        <v>0</v>
      </c>
      <c r="W93" s="95">
        <f t="shared" si="41"/>
        <v>19</v>
      </c>
      <c r="X93" s="94">
        <f>Model!$E29</f>
        <v>0.05528624690550173</v>
      </c>
    </row>
    <row r="94" spans="1:24" ht="12.75">
      <c r="A94" s="95">
        <f t="shared" si="40"/>
        <v>20</v>
      </c>
      <c r="B94" s="94">
        <f>(INDEX(BIJ,20,1)*INDEX(SIE,1)*INDEX(TIJ,1,1)+INDEX(BIJ,20,2)*INDEX(SIE,2)*INDEX(TIJ,2,1)+INDEX(BIJ,20,3)*INDEX(SIE,3)*INDEX(TIJ,3,1)+INDEX(BIJ,20,4)*INDEX(SIE,4)*INDEX(TIJ,4,1)+INDEX(BIJ,20,5)*INDEX(SIE,5)*INDEX(TIJ,5,1)+INDEX(BIJ,20,6)*INDEX(SIE,6)*INDEX(TIJ,6,1)+INDEX(BIJ,20,7)*INDEX(SIE,7)*INDEX(TIJ,7,1)+INDEX(BIJ,20,8)*INDEX(SIE,8)*INDEX(TIJ,8,1)+INDEX(BIJ,20,9)*INDEX(SIE,9)*INDEX(TIJ,9,1)+INDEX(BIJ,20,10)*INDEX(SIE,10)*INDEX(TIJ,10,1)+INDEX(BIJ,20,11)*INDEX(SIE,11)*INDEX(TIJ,11,1)+INDEX(BIJ,20,12)*INDEX(SIE,12)*INDEX(TIJ,12,1)+INDEX(BIJ,20,13)*INDEX(SIE,13)*INDEX(TIJ,13,1)+INDEX(BIJ,20,14)*INDEX(SIE,14)*INDEX(TIJ,14,1)+INDEX(BIJ,20,15)*INDEX(SIE,15)*INDEX(TIJ,15,1)+INDEX(BIJ,20,16)*INDEX(SIE,16)*INDEX(TIJ,16,1)+INDEX(BIJ,20,17)*INDEX(SIE,17)*INDEX(TIJ,17,1)+INDEX(BIJ,20,18)*INDEX(SIE,18)*INDEX(TIJ,18,1)+INDEX(BIJ,20,19)*INDEX(SIE,19)*INDEX(TIJ,19,1))/(INDEX(SIE,20)-INDEX(SIE,1))</f>
        <v>-1.7371354769899927</v>
      </c>
      <c r="C94" s="94">
        <f>(INDEX(BIJ,20,2)*INDEX(SIE,2)*INDEX(TIJ,2,2)+INDEX(BIJ,20,3)*INDEX(SIE,3)*INDEX(TIJ,3,2)+INDEX(BIJ,20,4)*INDEX(SIE,4)*INDEX(TIJ,4,2)+INDEX(BIJ,20,5)*INDEX(SIE,5)*INDEX(TIJ,5,2)+INDEX(BIJ,20,6)*INDEX(SIE,6)*INDEX(TIJ,6,2)+INDEX(BIJ,20,7)*INDEX(SIE,7)*INDEX(TIJ,7,2)+INDEX(BIJ,20,8)*INDEX(SIE,8)*INDEX(TIJ,8,2)+INDEX(BIJ,20,9)*INDEX(SIE,9)*INDEX(TIJ,9,2)+INDEX(BIJ,20,10)*INDEX(SIE,10)*INDEX(TIJ,10,2)+INDEX(BIJ,20,11)*INDEX(SIE,11)*INDEX(TIJ,11,2)+INDEX(BIJ,20,12)*INDEX(SIE,12)*INDEX(TIJ,12,2)+INDEX(BIJ,20,13)*INDEX(SIE,13)*INDEX(TIJ,13,2)+INDEX(BIJ,20,14)*INDEX(SIE,14)*INDEX(TIJ,14,2)+INDEX(BIJ,20,15)*INDEX(SIE,15)*INDEX(TIJ,15,2)+INDEX(BIJ,20,16)*INDEX(SIE,16)*INDEX(TIJ,16,2)+INDEX(BIJ,20,17)*INDEX(SIE,17)*INDEX(TIJ,17,2)+INDEX(BIJ,20,18)*INDEX(SIE,18)*INDEX(TIJ,18,2)+INDEX(BIJ,20,19)*INDEX(SIE,19)*INDEX(TIJ,19,2))/(INDEX(SIE,20)-INDEX(SIE,2))</f>
        <v>3.045816318216515</v>
      </c>
      <c r="D94" s="94">
        <f>(INDEX(BIJ,20,3)*INDEX(SIE,3)*INDEX(TIJ,3,3)+INDEX(BIJ,20,4)*INDEX(SIE,4)*INDEX(TIJ,4,3)+INDEX(BIJ,20,5)*INDEX(SIE,5)*INDEX(TIJ,5,3)+INDEX(BIJ,20,6)*INDEX(SIE,6)*INDEX(TIJ,6,3)+INDEX(BIJ,20,7)*INDEX(SIE,7)*INDEX(TIJ,7,3)+INDEX(BIJ,20,8)*INDEX(SIE,8)*INDEX(TIJ,8,3)+INDEX(BIJ,20,9)*INDEX(SIE,9)*INDEX(TIJ,9,3)+INDEX(BIJ,20,10)*INDEX(SIE,10)*INDEX(TIJ,10,3)+INDEX(BIJ,20,11)*INDEX(SIE,11)*INDEX(TIJ,11,3)+INDEX(BIJ,20,12)*INDEX(SIE,12)*INDEX(TIJ,12,3)+INDEX(BIJ,20,13)*INDEX(SIE,13)*INDEX(TIJ,13,3)+INDEX(BIJ,20,14)*INDEX(SIE,14)*INDEX(TIJ,14,3)+INDEX(BIJ,20,15)*INDEX(SIE,15)*INDEX(TIJ,15,3)+INDEX(BIJ,20,16)*INDEX(SIE,16)*INDEX(TIJ,16,3)+INDEX(BIJ,20,17)*INDEX(SIE,17)*INDEX(TIJ,17,3)+INDEX(BIJ,20,18)*INDEX(SIE,18)*INDEX(TIJ,18,3)+INDEX(BIJ,20,19)*INDEX(SIE,19)*INDEX(TIJ,19,3))/(INDEX(SIE,20)-INDEX(SIE,3))</f>
        <v>0.21531892966997748</v>
      </c>
      <c r="E94" s="94">
        <f>(INDEX(BIJ,20,4)*INDEX(SIE,4)*INDEX(TIJ,4,4)+INDEX(BIJ,20,5)*INDEX(SIE,5)*INDEX(TIJ,5,4)+INDEX(BIJ,20,6)*INDEX(SIE,6)*INDEX(TIJ,6,4)+INDEX(BIJ,20,7)*INDEX(SIE,7)*INDEX(TIJ,7,4)+INDEX(BIJ,20,8)*INDEX(SIE,8)*INDEX(TIJ,8,4)+INDEX(BIJ,20,9)*INDEX(SIE,9)*INDEX(TIJ,9,4)+INDEX(BIJ,20,10)*INDEX(SIE,10)*INDEX(TIJ,10,4)+INDEX(BIJ,20,11)*INDEX(SIE,11)*INDEX(TIJ,11,4)+INDEX(BIJ,20,12)*INDEX(SIE,12)*INDEX(TIJ,12,4)+INDEX(BIJ,20,13)*INDEX(SIE,13)*INDEX(TIJ,13,4)+INDEX(BIJ,20,14)*INDEX(SIE,14)*INDEX(TIJ,14,4)+INDEX(BIJ,20,15)*INDEX(SIE,15)*INDEX(TIJ,15,4)+INDEX(BIJ,20,16)*INDEX(SIE,16)*INDEX(TIJ,16,4)+INDEX(BIJ,20,17)*INDEX(SIE,17)*INDEX(TIJ,17,4)+INDEX(BIJ,20,18)*INDEX(SIE,18)*INDEX(TIJ,18,4)+INDEX(BIJ,20,19)*INDEX(SIE,19)*INDEX(TIJ,19,4))/(INDEX(SIE,20)-INDEX(SIE,4))</f>
        <v>0.09988051760108897</v>
      </c>
      <c r="F94" s="94">
        <f>(INDEX(BIJ,20,5)*INDEX(SIE,5)*INDEX(TIJ,5,5)+INDEX(BIJ,20,6)*INDEX(SIE,6)*INDEX(TIJ,6,5)+INDEX(BIJ,20,7)*INDEX(SIE,7)*INDEX(TIJ,7,5)+INDEX(BIJ,20,8)*INDEX(SIE,8)*INDEX(TIJ,8,5)+INDEX(BIJ,20,9)*INDEX(SIE,9)*INDEX(TIJ,9,5)+INDEX(BIJ,20,10)*INDEX(SIE,10)*INDEX(TIJ,10,5)+INDEX(BIJ,20,11)*INDEX(SIE,11)*INDEX(TIJ,11,5)+INDEX(BIJ,20,12)*INDEX(SIE,12)*INDEX(TIJ,12,5)+INDEX(BIJ,20,13)*INDEX(SIE,13)*INDEX(TIJ,13,5)+INDEX(BIJ,20,14)*INDEX(SIE,14)*INDEX(TIJ,14,5)+INDEX(BIJ,20,15)*INDEX(SIE,15)*INDEX(TIJ,15,5)+INDEX(BIJ,20,16)*INDEX(SIE,16)*INDEX(TIJ,16,5)+INDEX(BIJ,20,17)*INDEX(SIE,17)*INDEX(TIJ,17,5)+INDEX(BIJ,20,18)*INDEX(SIE,18)*INDEX(TIJ,18,5)+INDEX(BIJ,20,19)*INDEX(SIE,19)*INDEX(TIJ,19,5))/(INDEX(SIE,20)-INDEX(SIE,5))</f>
        <v>0.006904557248312329</v>
      </c>
      <c r="G94" s="94">
        <f>(INDEX(BIJ,20,6)*INDEX(SIE,6)*INDEX(TIJ,6,6)+INDEX(BIJ,20,7)*INDEX(SIE,7)*INDEX(TIJ,7,6)+INDEX(BIJ,20,8)*INDEX(SIE,8)*INDEX(TIJ,8,6)+INDEX(BIJ,20,9)*INDEX(SIE,9)*INDEX(TIJ,9,6)+INDEX(BIJ,20,10)*INDEX(SIE,10)*INDEX(TIJ,10,6)+INDEX(BIJ,20,11)*INDEX(SIE,11)*INDEX(TIJ,11,6)+INDEX(BIJ,20,12)*INDEX(SIE,12)*INDEX(TIJ,12,6)+INDEX(BIJ,20,13)*INDEX(SIE,13)*INDEX(TIJ,13,6)+INDEX(BIJ,20,14)*INDEX(SIE,14)*INDEX(TIJ,14,6)+INDEX(BIJ,20,15)*INDEX(SIE,15)*INDEX(TIJ,15,6)+INDEX(BIJ,20,16)*INDEX(SIE,16)*INDEX(TIJ,16,6)+INDEX(BIJ,20,17)*INDEX(SIE,17)*INDEX(TIJ,17,6)+INDEX(BIJ,20,18)*INDEX(SIE,18)*INDEX(TIJ,18,6)+INDEX(BIJ,20,19)*INDEX(SIE,19)*INDEX(TIJ,19,6))/(INDEX(SIE,20)-INDEX(SIE,6))</f>
        <v>-0.0010144785439209032</v>
      </c>
      <c r="H94" s="94">
        <f>(INDEX(BIJ,20,7)*INDEX(SIE,7)*INDEX(TIJ,7,7)+INDEX(BIJ,20,8)*INDEX(SIE,8)*INDEX(TIJ,8,7)+INDEX(BIJ,20,9)*INDEX(SIE,9)*INDEX(TIJ,9,7)+INDEX(BIJ,20,10)*INDEX(SIE,10)*INDEX(TIJ,10,7)+INDEX(BIJ,20,11)*INDEX(SIE,11)*INDEX(TIJ,11,7)+INDEX(BIJ,20,12)*INDEX(SIE,12)*INDEX(TIJ,12,7)+INDEX(BIJ,20,13)*INDEX(SIE,13)*INDEX(TIJ,13,7)+INDEX(BIJ,20,14)*INDEX(SIE,14)*INDEX(TIJ,14,7)+INDEX(BIJ,20,15)*INDEX(SIE,15)*INDEX(TIJ,15,7)+INDEX(BIJ,20,16)*INDEX(SIE,16)*INDEX(TIJ,16,7)+INDEX(BIJ,20,17)*INDEX(SIE,17)*INDEX(TIJ,17,7)+INDEX(BIJ,20,18)*INDEX(SIE,18)*INDEX(TIJ,18,7)+INDEX(BIJ,20,19)*INDEX(SIE,19)*INDEX(TIJ,19,7))/(INDEX(SIE,20)-INDEX(SIE,7))</f>
        <v>0.00036985654497008415</v>
      </c>
      <c r="I94" s="94">
        <f>(INDEX(BIJ,20,8)*INDEX(SIE,8)*INDEX(TIJ,8,8)+INDEX(BIJ,20,9)*INDEX(SIE,9)*INDEX(TIJ,9,8)+INDEX(BIJ,20,10)*INDEX(SIE,10)*INDEX(TIJ,10,8)+INDEX(BIJ,20,11)*INDEX(SIE,11)*INDEX(TIJ,11,8)+INDEX(BIJ,20,12)*INDEX(SIE,12)*INDEX(TIJ,12,8)+INDEX(BIJ,20,13)*INDEX(SIE,13)*INDEX(TIJ,13,8)+INDEX(BIJ,20,14)*INDEX(SIE,14)*INDEX(TIJ,14,8)+INDEX(BIJ,20,15)*INDEX(SIE,15)*INDEX(TIJ,15,8)+INDEX(BIJ,20,16)*INDEX(SIE,16)*INDEX(TIJ,16,8)+INDEX(BIJ,20,17)*INDEX(SIE,17)*INDEX(TIJ,17,8)+INDEX(BIJ,20,18)*INDEX(SIE,18)*INDEX(TIJ,18,8)+INDEX(BIJ,20,19)*INDEX(SIE,19)*INDEX(TIJ,19,8))/(INDEX(SIE,20)-INDEX(SIE,8))</f>
        <v>-0.004999365539094188</v>
      </c>
      <c r="J94" s="94">
        <f>(INDEX(BIJ,20,9)*INDEX(SIE,9)*INDEX(TIJ,9,9)+INDEX(BIJ,20,10)*INDEX(SIE,10)*INDEX(TIJ,10,9)+INDEX(BIJ,20,11)*INDEX(SIE,11)*INDEX(TIJ,11,9)+INDEX(BIJ,20,12)*INDEX(SIE,12)*INDEX(TIJ,12,9)+INDEX(BIJ,20,13)*INDEX(SIE,13)*INDEX(TIJ,13,9)+INDEX(BIJ,20,14)*INDEX(SIE,14)*INDEX(TIJ,14,9)+INDEX(BIJ,20,15)*INDEX(SIE,15)*INDEX(TIJ,15,9)+INDEX(BIJ,20,16)*INDEX(SIE,16)*INDEX(TIJ,16,9)+INDEX(BIJ,20,17)*INDEX(SIE,17)*INDEX(TIJ,17,9)+INDEX(BIJ,20,18)*INDEX(SIE,18)*INDEX(TIJ,18,9)+INDEX(BIJ,20,19)*INDEX(SIE,19)*INDEX(TIJ,19,9))/(INDEX(SIE,20)-INDEX(SIE,9))</f>
        <v>-0.00271221167311611</v>
      </c>
      <c r="K94" s="94">
        <f>(INDEX(BIJ,20,10)*INDEX(SIE,10)*INDEX(TIJ,10,10)+INDEX(BIJ,20,11)*INDEX(SIE,11)*INDEX(TIJ,11,10)+INDEX(BIJ,20,12)*INDEX(SIE,12)*INDEX(TIJ,12,10)+INDEX(BIJ,20,13)*INDEX(SIE,13)*INDEX(TIJ,13,10)+INDEX(BIJ,20,14)*INDEX(SIE,14)*INDEX(TIJ,14,10)+INDEX(BIJ,20,15)*INDEX(SIE,15)*INDEX(TIJ,15,10)+INDEX(BIJ,20,16)*INDEX(SIE,16)*INDEX(TIJ,16,10)+INDEX(BIJ,20,17)*INDEX(SIE,17)*INDEX(TIJ,17,10)+INDEX(BIJ,20,18)*INDEX(SIE,18)*INDEX(TIJ,18,10)+INDEX(BIJ,20,19)*INDEX(SIE,19)*INDEX(TIJ,19,10))/(INDEX(SIE,20)-INDEX(SIE,10))</f>
        <v>-0.005167904362536312</v>
      </c>
      <c r="L94" s="94">
        <f>(INDEX(BIJ,20,11)*INDEX(SIE,11)*INDEX(TIJ,11,11)+INDEX(BIJ,20,12)*INDEX(SIE,12)*INDEX(TIJ,12,11)+INDEX(BIJ,20,13)*INDEX(SIE,13)*INDEX(TIJ,13,11)+INDEX(BIJ,20,14)*INDEX(SIE,14)*INDEX(TIJ,14,11)+INDEX(BIJ,20,15)*INDEX(SIE,15)*INDEX(TIJ,15,11)+INDEX(BIJ,20,16)*INDEX(SIE,16)*INDEX(TIJ,16,11)+INDEX(BIJ,20,17)*INDEX(SIE,17)*INDEX(TIJ,17,11)+INDEX(BIJ,20,18)*INDEX(SIE,18)*INDEX(TIJ,18,11)+INDEX(BIJ,20,19)*INDEX(SIE,19)*INDEX(TIJ,19,11))/(INDEX(SIE,20)-INDEX(SIE,11))</f>
        <v>-0.005569631491065307</v>
      </c>
      <c r="M94" s="94">
        <f>(INDEX(BIJ,20,12)*INDEX(SIE,12)*INDEX(TIJ,12,12)+INDEX(BIJ,20,13)*INDEX(SIE,13)*INDEX(TIJ,13,12)+INDEX(BIJ,20,14)*INDEX(SIE,14)*INDEX(TIJ,14,12)+INDEX(BIJ,20,15)*INDEX(SIE,15)*INDEX(TIJ,15,12)+INDEX(BIJ,20,16)*INDEX(SIE,16)*INDEX(TIJ,16,12)+INDEX(BIJ,20,17)*INDEX(SIE,17)*INDEX(TIJ,17,12)+INDEX(BIJ,20,18)*INDEX(SIE,18)*INDEX(TIJ,18,12)+INDEX(BIJ,20,19)*INDEX(SIE,19)*INDEX(TIJ,19,12))/(INDEX(SIE,20)-INDEX(SIE,12))</f>
        <v>-0.0070221581859399185</v>
      </c>
      <c r="N94" s="94">
        <f>(INDEX(BIJ,20,13)*INDEX(SIE,13)*INDEX(TIJ,13,13)+INDEX(BIJ,20,14)*INDEX(SIE,14)*INDEX(TIJ,14,13)+INDEX(BIJ,20,15)*INDEX(SIE,15)*INDEX(TIJ,15,13)+INDEX(BIJ,20,16)*INDEX(SIE,16)*INDEX(TIJ,16,13)+INDEX(BIJ,20,17)*INDEX(SIE,17)*INDEX(TIJ,17,13)+INDEX(BIJ,20,18)*INDEX(SIE,18)*INDEX(TIJ,18,13)+INDEX(BIJ,20,19)*INDEX(SIE,19)*INDEX(TIJ,19,13))/(INDEX(SIE,20)-INDEX(SIE,13))</f>
        <v>-0.008374210079394062</v>
      </c>
      <c r="O94" s="94">
        <f>(INDEX(BIJ,20,14)*INDEX(SIE,14)*INDEX(TIJ,14,14)+INDEX(BIJ,20,15)*INDEX(SIE,15)*INDEX(TIJ,15,14)+INDEX(BIJ,20,16)*INDEX(SIE,16)*INDEX(TIJ,16,14)+INDEX(BIJ,20,17)*INDEX(SIE,17)*INDEX(TIJ,17,14)+INDEX(BIJ,20,18)*INDEX(SIE,18)*INDEX(TIJ,18,14)+INDEX(BIJ,20,19)*INDEX(SIE,19)*INDEX(TIJ,19,14))/(INDEX(SIE,20)-INDEX(SIE,14))</f>
        <v>-0.006761587893858437</v>
      </c>
      <c r="P94" s="94">
        <f>(INDEX(BIJ,20,15)*INDEX(SIE,15)*INDEX(TIJ,15,15)+INDEX(BIJ,20,16)*INDEX(SIE,16)*INDEX(TIJ,16,15)+INDEX(BIJ,20,17)*INDEX(SIE,17)*INDEX(TIJ,17,15)+INDEX(BIJ,20,18)*INDEX(SIE,18)*INDEX(TIJ,18,15)+INDEX(BIJ,20,19)*INDEX(SIE,19)*INDEX(TIJ,19,15))/(INDEX(SIE,20)-INDEX(SIE,15))</f>
        <v>-0.034377754721336126</v>
      </c>
      <c r="Q94" s="94">
        <f>(INDEX(BIJ,20,16)*INDEX(SIE,16)*INDEX(TIJ,16,16)+INDEX(BIJ,20,17)*INDEX(SIE,17)*INDEX(TIJ,17,16)+INDEX(BIJ,20,18)*INDEX(SIE,18)*INDEX(TIJ,18,16)+INDEX(BIJ,20,19)*INDEX(SIE,19)*INDEX(TIJ,19,16))/(INDEX(SIE,20)-INDEX(SIE,16))</f>
        <v>-0.0019904863957520467</v>
      </c>
      <c r="R94" s="94">
        <f>(INDEX(BIJ,20,17)*INDEX(SIE,17)*INDEX(TIJ,17,17)+INDEX(BIJ,20,18)*INDEX(SIE,18)*INDEX(TIJ,18,17)+INDEX(BIJ,20,19)*INDEX(SIE,19)*INDEX(TIJ,19,17))/(INDEX(SIE,20)-INDEX(SIE,17))</f>
        <v>-0.1724242886281361</v>
      </c>
      <c r="S94" s="94">
        <f>(INDEX(BIJ,20,18)*INDEX(SIE,18)*INDEX(TIJ,18,18)+INDEX(BIJ,20,19)*INDEX(SIE,19)*INDEX(TIJ,19,18))/(INDEX(SIE,20)-INDEX(SIE,18))</f>
        <v>1.3094661235964542</v>
      </c>
      <c r="T94" s="94">
        <f>(INDEX(BIJ,20,19)*INDEX(SIE,19)*INDEX(TIJ,19,19))/(INDEX(SIE,20)-INDEX(SIE,19))</f>
        <v>-1</v>
      </c>
      <c r="U94" s="94">
        <v>1</v>
      </c>
      <c r="W94" s="95">
        <f t="shared" si="41"/>
        <v>20</v>
      </c>
      <c r="X94" s="94">
        <f>Model!$E30</f>
        <v>0</v>
      </c>
    </row>
    <row r="96" ht="12.75">
      <c r="B96" s="94" t="s">
        <v>14</v>
      </c>
    </row>
    <row r="97" spans="2:21" ht="12.75">
      <c r="B97" s="95">
        <v>1</v>
      </c>
      <c r="C97" s="95">
        <f aca="true" t="shared" si="42" ref="C97:U97">B97+1</f>
        <v>2</v>
      </c>
      <c r="D97" s="95">
        <f t="shared" si="42"/>
        <v>3</v>
      </c>
      <c r="E97" s="95">
        <f t="shared" si="42"/>
        <v>4</v>
      </c>
      <c r="F97" s="95">
        <f t="shared" si="42"/>
        <v>5</v>
      </c>
      <c r="G97" s="95">
        <f t="shared" si="42"/>
        <v>6</v>
      </c>
      <c r="H97" s="95">
        <f t="shared" si="42"/>
        <v>7</v>
      </c>
      <c r="I97" s="95">
        <f t="shared" si="42"/>
        <v>8</v>
      </c>
      <c r="J97" s="95">
        <f t="shared" si="42"/>
        <v>9</v>
      </c>
      <c r="K97" s="95">
        <f t="shared" si="42"/>
        <v>10</v>
      </c>
      <c r="L97" s="95">
        <f t="shared" si="42"/>
        <v>11</v>
      </c>
      <c r="M97" s="95">
        <f t="shared" si="42"/>
        <v>12</v>
      </c>
      <c r="N97" s="95">
        <f t="shared" si="42"/>
        <v>13</v>
      </c>
      <c r="O97" s="95">
        <f t="shared" si="42"/>
        <v>14</v>
      </c>
      <c r="P97" s="95">
        <f t="shared" si="42"/>
        <v>15</v>
      </c>
      <c r="Q97" s="95">
        <f t="shared" si="42"/>
        <v>16</v>
      </c>
      <c r="R97" s="95">
        <f t="shared" si="42"/>
        <v>17</v>
      </c>
      <c r="S97" s="95">
        <f t="shared" si="42"/>
        <v>18</v>
      </c>
      <c r="T97" s="95">
        <f t="shared" si="42"/>
        <v>19</v>
      </c>
      <c r="U97" s="95">
        <f t="shared" si="42"/>
        <v>20</v>
      </c>
    </row>
    <row r="98" spans="1:21" ht="12.75">
      <c r="A98" s="95">
        <v>1</v>
      </c>
      <c r="B98" s="94">
        <f>Model!$E11</f>
        <v>0.23555643522238645</v>
      </c>
      <c r="C98" s="94">
        <f>Model!$E12</f>
        <v>0.5546157660375735</v>
      </c>
      <c r="D98" s="94">
        <f>Model!$E13</f>
        <v>1.115587467932632</v>
      </c>
      <c r="E98" s="94">
        <f>Model!$E14</f>
        <v>1.6635588898631666</v>
      </c>
      <c r="F98" s="94">
        <f>Model!$E15</f>
        <v>1.778396024033559</v>
      </c>
      <c r="G98" s="94">
        <f>Model!$E16</f>
        <v>1.545800022598107</v>
      </c>
      <c r="H98" s="94">
        <f>Model!$E17</f>
        <v>1.231880371423183</v>
      </c>
      <c r="I98" s="94">
        <f>Model!$E18</f>
        <v>0.9468333481285959</v>
      </c>
      <c r="J98" s="94">
        <f>Model!$E19</f>
        <v>0.720604359781995</v>
      </c>
      <c r="K98" s="94">
        <f>Model!$E20</f>
        <v>0.5504841473052813</v>
      </c>
      <c r="L98" s="94">
        <f>Model!$E21</f>
        <v>0.4173500573255341</v>
      </c>
      <c r="M98" s="94">
        <f>Model!$E22</f>
        <v>0.31632851096233866</v>
      </c>
      <c r="N98" s="94">
        <f>Model!$E23</f>
        <v>0.239514582023863</v>
      </c>
      <c r="O98" s="94">
        <f>Model!$E24</f>
        <v>0.18151994444628064</v>
      </c>
      <c r="P98" s="94">
        <f>Model!$E25</f>
        <v>0.1375668068158448</v>
      </c>
      <c r="Q98" s="94">
        <f>Model!$E26</f>
        <v>0.1042562371777074</v>
      </c>
      <c r="R98" s="94">
        <f>Model!$E27</f>
        <v>0.07901147390983694</v>
      </c>
      <c r="S98" s="94">
        <f>Model!$E28</f>
        <v>0.06383322083740729</v>
      </c>
      <c r="T98" s="94">
        <f>Model!$E29</f>
        <v>0.05528624690550173</v>
      </c>
      <c r="U98" s="94">
        <f>Model!$E30</f>
        <v>0</v>
      </c>
    </row>
    <row r="103" ht="12.75">
      <c r="B103" s="94" t="s">
        <v>15</v>
      </c>
    </row>
    <row r="104" spans="2:21" ht="12.75">
      <c r="B104" s="95">
        <v>1</v>
      </c>
      <c r="C104" s="95">
        <f aca="true" t="shared" si="43" ref="C104:U104">B104+1</f>
        <v>2</v>
      </c>
      <c r="D104" s="95">
        <f t="shared" si="43"/>
        <v>3</v>
      </c>
      <c r="E104" s="95">
        <f t="shared" si="43"/>
        <v>4</v>
      </c>
      <c r="F104" s="95">
        <f t="shared" si="43"/>
        <v>5</v>
      </c>
      <c r="G104" s="95">
        <f t="shared" si="43"/>
        <v>6</v>
      </c>
      <c r="H104" s="95">
        <f t="shared" si="43"/>
        <v>7</v>
      </c>
      <c r="I104" s="95">
        <f t="shared" si="43"/>
        <v>8</v>
      </c>
      <c r="J104" s="95">
        <f t="shared" si="43"/>
        <v>9</v>
      </c>
      <c r="K104" s="95">
        <f t="shared" si="43"/>
        <v>10</v>
      </c>
      <c r="L104" s="95">
        <f t="shared" si="43"/>
        <v>11</v>
      </c>
      <c r="M104" s="95">
        <f t="shared" si="43"/>
        <v>12</v>
      </c>
      <c r="N104" s="95">
        <f t="shared" si="43"/>
        <v>13</v>
      </c>
      <c r="O104" s="95">
        <f t="shared" si="43"/>
        <v>14</v>
      </c>
      <c r="P104" s="95">
        <f t="shared" si="43"/>
        <v>15</v>
      </c>
      <c r="Q104" s="95">
        <f t="shared" si="43"/>
        <v>16</v>
      </c>
      <c r="R104" s="95">
        <f t="shared" si="43"/>
        <v>17</v>
      </c>
      <c r="S104" s="95">
        <f t="shared" si="43"/>
        <v>18</v>
      </c>
      <c r="T104" s="95">
        <f t="shared" si="43"/>
        <v>19</v>
      </c>
      <c r="U104" s="95">
        <f t="shared" si="43"/>
        <v>20</v>
      </c>
    </row>
    <row r="105" spans="1:21" ht="12.75">
      <c r="A105" s="95">
        <v>1</v>
      </c>
      <c r="B105" s="94">
        <f>Model!AI11</f>
        <v>0</v>
      </c>
      <c r="C105" s="94">
        <f>Model!AJ11</f>
        <v>0</v>
      </c>
      <c r="D105" s="94">
        <f>Model!AK11</f>
        <v>0</v>
      </c>
      <c r="E105" s="94">
        <f>Model!AL11</f>
        <v>0</v>
      </c>
      <c r="F105" s="94">
        <f>Model!AM11</f>
        <v>0</v>
      </c>
      <c r="G105" s="94">
        <f>Model!AN11</f>
        <v>0</v>
      </c>
      <c r="H105" s="94">
        <f>Model!AO11</f>
        <v>0</v>
      </c>
      <c r="I105" s="94">
        <f>Model!AP11</f>
        <v>0</v>
      </c>
      <c r="J105" s="94">
        <f>Model!AQ11</f>
        <v>0</v>
      </c>
      <c r="K105" s="94">
        <f>Model!AR11</f>
        <v>0</v>
      </c>
      <c r="L105" s="94">
        <f>Model!AS11</f>
        <v>0</v>
      </c>
      <c r="M105" s="94">
        <f>Model!AT11</f>
        <v>0</v>
      </c>
      <c r="N105" s="94">
        <f>Model!AU11</f>
        <v>0</v>
      </c>
      <c r="O105" s="94">
        <f>Model!AV11</f>
        <v>0</v>
      </c>
      <c r="P105" s="94">
        <f>Model!AW11</f>
        <v>0</v>
      </c>
      <c r="Q105" s="94">
        <f>Model!AX11</f>
        <v>0</v>
      </c>
      <c r="R105" s="94">
        <f>Model!AY11</f>
        <v>0</v>
      </c>
      <c r="S105" s="94">
        <f>Model!AZ11</f>
        <v>0</v>
      </c>
      <c r="T105" s="94">
        <f>Model!BA11</f>
        <v>0</v>
      </c>
      <c r="U105" s="94">
        <f>Model!BB11</f>
        <v>0</v>
      </c>
    </row>
    <row r="106" spans="1:21" ht="12.75">
      <c r="A106" s="95">
        <f aca="true" t="shared" si="44" ref="A106:A124">A105+1</f>
        <v>2</v>
      </c>
      <c r="B106" s="94">
        <f>Model!AI12</f>
        <v>0.43424445438520176</v>
      </c>
      <c r="C106" s="94">
        <f>Model!AJ12</f>
        <v>0</v>
      </c>
      <c r="D106" s="94">
        <f>Model!AK12</f>
        <v>0</v>
      </c>
      <c r="E106" s="94">
        <f>Model!AL12</f>
        <v>0</v>
      </c>
      <c r="F106" s="94">
        <f>Model!AM12</f>
        <v>0</v>
      </c>
      <c r="G106" s="94">
        <f>Model!AN12</f>
        <v>0</v>
      </c>
      <c r="H106" s="94">
        <f>Model!AO12</f>
        <v>0</v>
      </c>
      <c r="I106" s="94">
        <f>Model!AP12</f>
        <v>0</v>
      </c>
      <c r="J106" s="94">
        <f>Model!AQ12</f>
        <v>0</v>
      </c>
      <c r="K106" s="94">
        <f>Model!AR12</f>
        <v>0</v>
      </c>
      <c r="L106" s="94">
        <f>Model!AS12</f>
        <v>0</v>
      </c>
      <c r="M106" s="94">
        <f>Model!AT12</f>
        <v>0</v>
      </c>
      <c r="N106" s="94">
        <f>Model!AU12</f>
        <v>0</v>
      </c>
      <c r="O106" s="94">
        <f>Model!AV12</f>
        <v>0</v>
      </c>
      <c r="P106" s="94">
        <f>Model!AW12</f>
        <v>0</v>
      </c>
      <c r="Q106" s="94">
        <f>Model!AX12</f>
        <v>0</v>
      </c>
      <c r="R106" s="94">
        <f>Model!AY12</f>
        <v>0</v>
      </c>
      <c r="S106" s="94">
        <f>Model!AZ12</f>
        <v>0</v>
      </c>
      <c r="T106" s="94">
        <f>Model!BA12</f>
        <v>0</v>
      </c>
      <c r="U106" s="94">
        <f>Model!BB12</f>
        <v>0</v>
      </c>
    </row>
    <row r="107" spans="1:21" ht="12.75">
      <c r="A107" s="95">
        <f t="shared" si="44"/>
        <v>3</v>
      </c>
      <c r="B107" s="94">
        <f>Model!AI13</f>
        <v>0.2068998219921071</v>
      </c>
      <c r="C107" s="94">
        <f>Model!AJ13</f>
        <v>0.5171364251598687</v>
      </c>
      <c r="D107" s="94">
        <f>Model!AK13</f>
        <v>0</v>
      </c>
      <c r="E107" s="94">
        <f>Model!AL13</f>
        <v>0</v>
      </c>
      <c r="F107" s="94">
        <f>Model!AM13</f>
        <v>0</v>
      </c>
      <c r="G107" s="94">
        <f>Model!AN13</f>
        <v>0</v>
      </c>
      <c r="H107" s="94">
        <f>Model!AO13</f>
        <v>0</v>
      </c>
      <c r="I107" s="94">
        <f>Model!AP13</f>
        <v>0</v>
      </c>
      <c r="J107" s="94">
        <f>Model!AQ13</f>
        <v>0</v>
      </c>
      <c r="K107" s="94">
        <f>Model!AR13</f>
        <v>0</v>
      </c>
      <c r="L107" s="94">
        <f>Model!AS13</f>
        <v>0</v>
      </c>
      <c r="M107" s="94">
        <f>Model!AT13</f>
        <v>0</v>
      </c>
      <c r="N107" s="94">
        <f>Model!AU13</f>
        <v>0</v>
      </c>
      <c r="O107" s="94">
        <f>Model!AV13</f>
        <v>0</v>
      </c>
      <c r="P107" s="94">
        <f>Model!AW13</f>
        <v>0</v>
      </c>
      <c r="Q107" s="94">
        <f>Model!AX13</f>
        <v>0</v>
      </c>
      <c r="R107" s="94">
        <f>Model!AY13</f>
        <v>0</v>
      </c>
      <c r="S107" s="94">
        <f>Model!AZ13</f>
        <v>0</v>
      </c>
      <c r="T107" s="94">
        <f>Model!BA13</f>
        <v>0</v>
      </c>
      <c r="U107" s="94">
        <f>Model!BB13</f>
        <v>0</v>
      </c>
    </row>
    <row r="108" spans="1:21" ht="12.75">
      <c r="A108" s="95">
        <f t="shared" si="44"/>
        <v>4</v>
      </c>
      <c r="B108" s="94">
        <f>Model!AI14</f>
        <v>0.06619260374303193</v>
      </c>
      <c r="C108" s="94">
        <f>Model!AJ14</f>
        <v>0.12400785121744023</v>
      </c>
      <c r="D108" s="94">
        <f>Model!AK14</f>
        <v>0.43424445438520176</v>
      </c>
      <c r="E108" s="94">
        <f>Model!AL14</f>
        <v>0</v>
      </c>
      <c r="F108" s="94">
        <f>Model!AM14</f>
        <v>0</v>
      </c>
      <c r="G108" s="94">
        <f>Model!AN14</f>
        <v>0</v>
      </c>
      <c r="H108" s="94">
        <f>Model!AO14</f>
        <v>0</v>
      </c>
      <c r="I108" s="94">
        <f>Model!AP14</f>
        <v>0</v>
      </c>
      <c r="J108" s="94">
        <f>Model!AQ14</f>
        <v>0</v>
      </c>
      <c r="K108" s="94">
        <f>Model!AR14</f>
        <v>0</v>
      </c>
      <c r="L108" s="94">
        <f>Model!AS14</f>
        <v>0</v>
      </c>
      <c r="M108" s="94">
        <f>Model!AT14</f>
        <v>0</v>
      </c>
      <c r="N108" s="94">
        <f>Model!AU14</f>
        <v>0</v>
      </c>
      <c r="O108" s="94">
        <f>Model!AV14</f>
        <v>0</v>
      </c>
      <c r="P108" s="94">
        <f>Model!AW14</f>
        <v>0</v>
      </c>
      <c r="Q108" s="94">
        <f>Model!AX14</f>
        <v>0</v>
      </c>
      <c r="R108" s="94">
        <f>Model!AY14</f>
        <v>0</v>
      </c>
      <c r="S108" s="94">
        <f>Model!AZ14</f>
        <v>0</v>
      </c>
      <c r="T108" s="94">
        <f>Model!BA14</f>
        <v>0</v>
      </c>
      <c r="U108" s="94">
        <f>Model!BB14</f>
        <v>0</v>
      </c>
    </row>
    <row r="109" spans="1:21" ht="12.75">
      <c r="A109" s="95">
        <f t="shared" si="44"/>
        <v>5</v>
      </c>
      <c r="B109" s="94">
        <f>Model!AI15</f>
        <v>0.05210168533487841</v>
      </c>
      <c r="C109" s="94">
        <f>Model!AJ15</f>
        <v>0.07639614428712777</v>
      </c>
      <c r="D109" s="94">
        <f>Model!AK15</f>
        <v>0.1901541481766264</v>
      </c>
      <c r="E109" s="94">
        <f>Model!AL15</f>
        <v>0.4812021493243813</v>
      </c>
      <c r="F109" s="94">
        <f>Model!AM15</f>
        <v>0</v>
      </c>
      <c r="G109" s="94">
        <f>Model!AN15</f>
        <v>0</v>
      </c>
      <c r="H109" s="94">
        <f>Model!AO15</f>
        <v>0</v>
      </c>
      <c r="I109" s="94">
        <f>Model!AP15</f>
        <v>0</v>
      </c>
      <c r="J109" s="94">
        <f>Model!AQ15</f>
        <v>0</v>
      </c>
      <c r="K109" s="94">
        <f>Model!AR15</f>
        <v>0</v>
      </c>
      <c r="L109" s="94">
        <f>Model!AS15</f>
        <v>0</v>
      </c>
      <c r="M109" s="94">
        <f>Model!AT15</f>
        <v>0</v>
      </c>
      <c r="N109" s="94">
        <f>Model!AU15</f>
        <v>0</v>
      </c>
      <c r="O109" s="94">
        <f>Model!AV15</f>
        <v>0</v>
      </c>
      <c r="P109" s="94">
        <f>Model!AW15</f>
        <v>0</v>
      </c>
      <c r="Q109" s="94">
        <f>Model!AX15</f>
        <v>0</v>
      </c>
      <c r="R109" s="94">
        <f>Model!AY15</f>
        <v>0</v>
      </c>
      <c r="S109" s="94">
        <f>Model!AZ15</f>
        <v>0</v>
      </c>
      <c r="T109" s="94">
        <f>Model!BA15</f>
        <v>0</v>
      </c>
      <c r="U109" s="94">
        <f>Model!BB15</f>
        <v>0</v>
      </c>
    </row>
    <row r="110" spans="1:21" ht="12.75">
      <c r="A110" s="95">
        <f t="shared" si="44"/>
        <v>6</v>
      </c>
      <c r="B110" s="94">
        <f>Model!AI16</f>
        <v>0.03928495640212254</v>
      </c>
      <c r="C110" s="94">
        <f>Model!AJ16</f>
        <v>0.0493074924125024</v>
      </c>
      <c r="D110" s="94">
        <f>Model!AK16</f>
        <v>0.08407341382276345</v>
      </c>
      <c r="E110" s="94">
        <f>Model!AL16</f>
        <v>0.1617944282516759</v>
      </c>
      <c r="F110" s="94">
        <f>Model!AM16</f>
        <v>0.482009971646121</v>
      </c>
      <c r="G110" s="94">
        <f>Model!AN16</f>
        <v>0</v>
      </c>
      <c r="H110" s="94">
        <f>Model!AO16</f>
        <v>0</v>
      </c>
      <c r="I110" s="94">
        <f>Model!AP16</f>
        <v>0</v>
      </c>
      <c r="J110" s="94">
        <f>Model!AQ16</f>
        <v>0</v>
      </c>
      <c r="K110" s="94">
        <f>Model!AR16</f>
        <v>0</v>
      </c>
      <c r="L110" s="94">
        <f>Model!AS16</f>
        <v>0</v>
      </c>
      <c r="M110" s="94">
        <f>Model!AT16</f>
        <v>0</v>
      </c>
      <c r="N110" s="94">
        <f>Model!AU16</f>
        <v>0</v>
      </c>
      <c r="O110" s="94">
        <f>Model!AV16</f>
        <v>0</v>
      </c>
      <c r="P110" s="94">
        <f>Model!AW16</f>
        <v>0</v>
      </c>
      <c r="Q110" s="94">
        <f>Model!AX16</f>
        <v>0</v>
      </c>
      <c r="R110" s="94">
        <f>Model!AY16</f>
        <v>0</v>
      </c>
      <c r="S110" s="94">
        <f>Model!AZ16</f>
        <v>0</v>
      </c>
      <c r="T110" s="94">
        <f>Model!BA16</f>
        <v>0</v>
      </c>
      <c r="U110" s="94">
        <f>Model!BB16</f>
        <v>0</v>
      </c>
    </row>
    <row r="111" spans="1:21" ht="12.75">
      <c r="A111" s="95">
        <f t="shared" si="44"/>
        <v>7</v>
      </c>
      <c r="B111" s="94">
        <f>Model!AI17</f>
        <v>0.030081552823585433</v>
      </c>
      <c r="C111" s="94">
        <f>Model!AJ17</f>
        <v>0.03561675191198527</v>
      </c>
      <c r="D111" s="94">
        <f>Model!AK17</f>
        <v>0.04908362548971157</v>
      </c>
      <c r="E111" s="94">
        <f>Model!AL17</f>
        <v>0.07204626382731105</v>
      </c>
      <c r="F111" s="94">
        <f>Model!AM17</f>
        <v>0.15470463236432375</v>
      </c>
      <c r="G111" s="94">
        <f>Model!AN17</f>
        <v>0.465327519228975</v>
      </c>
      <c r="H111" s="94">
        <f>Model!AO17</f>
        <v>0</v>
      </c>
      <c r="I111" s="94">
        <f>Model!AP17</f>
        <v>0</v>
      </c>
      <c r="J111" s="94">
        <f>Model!AQ17</f>
        <v>0</v>
      </c>
      <c r="K111" s="94">
        <f>Model!AR17</f>
        <v>0</v>
      </c>
      <c r="L111" s="94">
        <f>Model!AS17</f>
        <v>0</v>
      </c>
      <c r="M111" s="94">
        <f>Model!AT17</f>
        <v>0</v>
      </c>
      <c r="N111" s="94">
        <f>Model!AU17</f>
        <v>0</v>
      </c>
      <c r="O111" s="94">
        <f>Model!AV17</f>
        <v>0</v>
      </c>
      <c r="P111" s="94">
        <f>Model!AW17</f>
        <v>0</v>
      </c>
      <c r="Q111" s="94">
        <f>Model!AX17</f>
        <v>0</v>
      </c>
      <c r="R111" s="94">
        <f>Model!AY17</f>
        <v>0</v>
      </c>
      <c r="S111" s="94">
        <f>Model!AZ17</f>
        <v>0</v>
      </c>
      <c r="T111" s="94">
        <f>Model!BA17</f>
        <v>0</v>
      </c>
      <c r="U111" s="94">
        <f>Model!BB17</f>
        <v>0</v>
      </c>
    </row>
    <row r="112" spans="1:21" ht="12.75">
      <c r="A112" s="95">
        <f t="shared" si="44"/>
        <v>8</v>
      </c>
      <c r="B112" s="94">
        <f>Model!AI18</f>
        <v>0.027979521118771056</v>
      </c>
      <c r="C112" s="94">
        <f>Model!AJ18</f>
        <v>0.03250043155927104</v>
      </c>
      <c r="D112" s="94">
        <f>Model!AK18</f>
        <v>0.04116787998303856</v>
      </c>
      <c r="E112" s="94">
        <f>Model!AL18</f>
        <v>0.05180507167357076</v>
      </c>
      <c r="F112" s="94">
        <f>Model!AM18</f>
        <v>0.0810118990382993</v>
      </c>
      <c r="G112" s="94">
        <f>Model!AN18</f>
        <v>0.1758167571483339</v>
      </c>
      <c r="H112" s="94">
        <f>Model!AO18</f>
        <v>0.4924893036709096</v>
      </c>
      <c r="I112" s="94">
        <f>Model!AP18</f>
        <v>0</v>
      </c>
      <c r="J112" s="94">
        <f>Model!AQ18</f>
        <v>0</v>
      </c>
      <c r="K112" s="94">
        <f>Model!AR18</f>
        <v>0</v>
      </c>
      <c r="L112" s="94">
        <f>Model!AS18</f>
        <v>0</v>
      </c>
      <c r="M112" s="94">
        <f>Model!AT18</f>
        <v>0</v>
      </c>
      <c r="N112" s="94">
        <f>Model!AU18</f>
        <v>0</v>
      </c>
      <c r="O112" s="94">
        <f>Model!AV18</f>
        <v>0</v>
      </c>
      <c r="P112" s="94">
        <f>Model!AW18</f>
        <v>0</v>
      </c>
      <c r="Q112" s="94">
        <f>Model!AX18</f>
        <v>0</v>
      </c>
      <c r="R112" s="94">
        <f>Model!AY18</f>
        <v>0</v>
      </c>
      <c r="S112" s="94">
        <f>Model!AZ18</f>
        <v>0</v>
      </c>
      <c r="T112" s="94">
        <f>Model!BA18</f>
        <v>0</v>
      </c>
      <c r="U112" s="94">
        <f>Model!BB18</f>
        <v>0</v>
      </c>
    </row>
    <row r="113" spans="1:21" ht="12.75">
      <c r="A113" s="95">
        <f t="shared" si="44"/>
        <v>9</v>
      </c>
      <c r="B113" s="94">
        <f>Model!AI19</f>
        <v>0.021158178384066584</v>
      </c>
      <c r="C113" s="94">
        <f>Model!AJ19</f>
        <v>0.02443006676880663</v>
      </c>
      <c r="D113" s="94">
        <f>Model!AK19</f>
        <v>0.030081552823585433</v>
      </c>
      <c r="E113" s="94">
        <f>Model!AL19</f>
        <v>0.03561675191198527</v>
      </c>
      <c r="F113" s="94">
        <f>Model!AM19</f>
        <v>0.046547001326581766</v>
      </c>
      <c r="G113" s="94">
        <f>Model!AN19</f>
        <v>0.07281659753827113</v>
      </c>
      <c r="H113" s="94">
        <f>Model!AO19</f>
        <v>0.14865497270639927</v>
      </c>
      <c r="I113" s="94">
        <f>Model!AP19</f>
        <v>0.465327519228975</v>
      </c>
      <c r="J113" s="94">
        <f>Model!AQ19</f>
        <v>0</v>
      </c>
      <c r="K113" s="94">
        <f>Model!AR19</f>
        <v>0</v>
      </c>
      <c r="L113" s="94">
        <f>Model!AS19</f>
        <v>0</v>
      </c>
      <c r="M113" s="94">
        <f>Model!AT19</f>
        <v>0</v>
      </c>
      <c r="N113" s="94">
        <f>Model!AU19</f>
        <v>0</v>
      </c>
      <c r="O113" s="94">
        <f>Model!AV19</f>
        <v>0</v>
      </c>
      <c r="P113" s="94">
        <f>Model!AW19</f>
        <v>0</v>
      </c>
      <c r="Q113" s="94">
        <f>Model!AX19</f>
        <v>0</v>
      </c>
      <c r="R113" s="94">
        <f>Model!AY19</f>
        <v>0</v>
      </c>
      <c r="S113" s="94">
        <f>Model!AZ19</f>
        <v>0</v>
      </c>
      <c r="T113" s="94">
        <f>Model!BA19</f>
        <v>0</v>
      </c>
      <c r="U113" s="94">
        <f>Model!BB19</f>
        <v>0</v>
      </c>
    </row>
    <row r="114" spans="1:21" ht="12.75">
      <c r="A114" s="95">
        <f t="shared" si="44"/>
        <v>10</v>
      </c>
      <c r="B114" s="94">
        <f>Model!AI20</f>
        <v>0.01904031266872079</v>
      </c>
      <c r="C114" s="94">
        <f>Model!AJ20</f>
        <v>0.021946947487885102</v>
      </c>
      <c r="D114" s="94">
        <f>Model!AK20</f>
        <v>0.02680063215123088</v>
      </c>
      <c r="E114" s="94">
        <f>Model!AL20</f>
        <v>0.031136849699249597</v>
      </c>
      <c r="F114" s="94">
        <f>Model!AM20</f>
        <v>0.03810503951984853</v>
      </c>
      <c r="G114" s="94">
        <f>Model!AN20</f>
        <v>0.05006808465099663</v>
      </c>
      <c r="H114" s="94">
        <f>Model!AO20</f>
        <v>0.07624943906569742</v>
      </c>
      <c r="I114" s="94">
        <f>Model!AP20</f>
        <v>0.17078066243991563</v>
      </c>
      <c r="J114" s="94">
        <f>Model!AQ20</f>
        <v>0.4805640649904761</v>
      </c>
      <c r="K114" s="94">
        <f>Model!AR20</f>
        <v>0</v>
      </c>
      <c r="L114" s="94">
        <f>Model!AS20</f>
        <v>0</v>
      </c>
      <c r="M114" s="94">
        <f>Model!AT20</f>
        <v>0</v>
      </c>
      <c r="N114" s="94">
        <f>Model!AU20</f>
        <v>0</v>
      </c>
      <c r="O114" s="94">
        <f>Model!AV20</f>
        <v>0</v>
      </c>
      <c r="P114" s="94">
        <f>Model!AW20</f>
        <v>0</v>
      </c>
      <c r="Q114" s="94">
        <f>Model!AX20</f>
        <v>0</v>
      </c>
      <c r="R114" s="94">
        <f>Model!AY20</f>
        <v>0</v>
      </c>
      <c r="S114" s="94">
        <f>Model!AZ20</f>
        <v>0</v>
      </c>
      <c r="T114" s="94">
        <f>Model!BA20</f>
        <v>0</v>
      </c>
      <c r="U114" s="94">
        <f>Model!BB20</f>
        <v>0</v>
      </c>
    </row>
    <row r="115" spans="1:21" ht="12.75">
      <c r="A115" s="95">
        <f t="shared" si="44"/>
        <v>11</v>
      </c>
      <c r="B115" s="94">
        <f>Model!AI21</f>
        <v>0.01591941005452384</v>
      </c>
      <c r="C115" s="94">
        <f>Model!AJ21</f>
        <v>0.018339732581839158</v>
      </c>
      <c r="D115" s="94">
        <f>Model!AK21</f>
        <v>0.02233706735160676</v>
      </c>
      <c r="E115" s="94">
        <f>Model!AL21</f>
        <v>0.025793648628828075</v>
      </c>
      <c r="F115" s="94">
        <f>Model!AM21</f>
        <v>0.03086864810902462</v>
      </c>
      <c r="G115" s="94">
        <f>Model!AN21</f>
        <v>0.037812977075085574</v>
      </c>
      <c r="H115" s="94">
        <f>Model!AO21</f>
        <v>0.04868722309383827</v>
      </c>
      <c r="I115" s="94">
        <f>Model!AP21</f>
        <v>0.07785269224668939</v>
      </c>
      <c r="J115" s="94">
        <f>Model!AQ21</f>
        <v>0.16058021138683276</v>
      </c>
      <c r="K115" s="94">
        <f>Model!AR21</f>
        <v>0.4780267593657097</v>
      </c>
      <c r="L115" s="94">
        <f>Model!AS21</f>
        <v>0</v>
      </c>
      <c r="M115" s="94">
        <f>Model!AT21</f>
        <v>0</v>
      </c>
      <c r="N115" s="94">
        <f>Model!AU21</f>
        <v>0</v>
      </c>
      <c r="O115" s="94">
        <f>Model!AV21</f>
        <v>0</v>
      </c>
      <c r="P115" s="94">
        <f>Model!AW21</f>
        <v>0</v>
      </c>
      <c r="Q115" s="94">
        <f>Model!AX21</f>
        <v>0</v>
      </c>
      <c r="R115" s="94">
        <f>Model!AY21</f>
        <v>0</v>
      </c>
      <c r="S115" s="94">
        <f>Model!AZ21</f>
        <v>0</v>
      </c>
      <c r="T115" s="94">
        <f>Model!BA21</f>
        <v>0</v>
      </c>
      <c r="U115" s="94">
        <f>Model!BB21</f>
        <v>0</v>
      </c>
    </row>
    <row r="116" spans="1:21" ht="12.75">
      <c r="A116" s="95">
        <f t="shared" si="44"/>
        <v>12</v>
      </c>
      <c r="B116" s="94">
        <f>Model!AI22</f>
        <v>0.013582530897678649</v>
      </c>
      <c r="C116" s="94">
        <f>Model!AJ22</f>
        <v>0.01564507390092587</v>
      </c>
      <c r="D116" s="94">
        <f>Model!AK22</f>
        <v>0.01904031266872079</v>
      </c>
      <c r="E116" s="94">
        <f>Model!AL22</f>
        <v>0.021946947487885102</v>
      </c>
      <c r="F116" s="94">
        <f>Model!AM22</f>
        <v>0.026087791360006357</v>
      </c>
      <c r="G116" s="94">
        <f>Model!AN22</f>
        <v>0.031242503032977514</v>
      </c>
      <c r="H116" s="94">
        <f>Model!AO22</f>
        <v>0.03774576867013463</v>
      </c>
      <c r="I116" s="94">
        <f>Model!AP22</f>
        <v>0.05006808465099663</v>
      </c>
      <c r="J116" s="94">
        <f>Model!AQ22</f>
        <v>0.07624943906569742</v>
      </c>
      <c r="K116" s="94">
        <f>Model!AR22</f>
        <v>0.16311751701159916</v>
      </c>
      <c r="L116" s="94">
        <f>Model!AS22</f>
        <v>0.4805640649904761</v>
      </c>
      <c r="M116" s="94">
        <f>Model!AT22</f>
        <v>0</v>
      </c>
      <c r="N116" s="94">
        <f>Model!AU22</f>
        <v>0</v>
      </c>
      <c r="O116" s="94">
        <f>Model!AV22</f>
        <v>0</v>
      </c>
      <c r="P116" s="94">
        <f>Model!AW22</f>
        <v>0</v>
      </c>
      <c r="Q116" s="94">
        <f>Model!AX22</f>
        <v>0</v>
      </c>
      <c r="R116" s="94">
        <f>Model!AY22</f>
        <v>0</v>
      </c>
      <c r="S116" s="94">
        <f>Model!AZ22</f>
        <v>0</v>
      </c>
      <c r="T116" s="94">
        <f>Model!BA22</f>
        <v>0</v>
      </c>
      <c r="U116" s="94">
        <f>Model!BB22</f>
        <v>0</v>
      </c>
    </row>
    <row r="117" spans="1:21" ht="12.75">
      <c r="A117" s="95">
        <f t="shared" si="44"/>
        <v>13</v>
      </c>
      <c r="B117" s="94">
        <f>Model!AI23</f>
        <v>0.011430594460229336</v>
      </c>
      <c r="C117" s="94">
        <f>Model!AJ23</f>
        <v>0.013165737521258325</v>
      </c>
      <c r="D117" s="94">
        <f>Model!AK23</f>
        <v>0.016019225480630075</v>
      </c>
      <c r="E117" s="94">
        <f>Model!AL23</f>
        <v>0.01845471062108671</v>
      </c>
      <c r="F117" s="94">
        <f>Model!AM23</f>
        <v>0.021892189676721907</v>
      </c>
      <c r="G117" s="94">
        <f>Model!AN23</f>
        <v>0.0260375795006704</v>
      </c>
      <c r="H117" s="94">
        <f>Model!AO23</f>
        <v>0.030816533727142575</v>
      </c>
      <c r="I117" s="94">
        <f>Model!AP23</f>
        <v>0.03804477501551551</v>
      </c>
      <c r="J117" s="94">
        <f>Model!AQ23</f>
        <v>0.04897280593654055</v>
      </c>
      <c r="K117" s="94">
        <f>Model!AR23</f>
        <v>0.07606357601005959</v>
      </c>
      <c r="L117" s="94">
        <f>Model!AS23</f>
        <v>0.16127179861615243</v>
      </c>
      <c r="M117" s="94">
        <f>Model!AT23</f>
        <v>0.4797541374339026</v>
      </c>
      <c r="N117" s="94">
        <f>Model!AU23</f>
        <v>0</v>
      </c>
      <c r="O117" s="94">
        <f>Model!AV23</f>
        <v>0</v>
      </c>
      <c r="P117" s="94">
        <f>Model!AW23</f>
        <v>0</v>
      </c>
      <c r="Q117" s="94">
        <f>Model!AX23</f>
        <v>0</v>
      </c>
      <c r="R117" s="94">
        <f>Model!AY23</f>
        <v>0</v>
      </c>
      <c r="S117" s="94">
        <f>Model!AZ23</f>
        <v>0</v>
      </c>
      <c r="T117" s="94">
        <f>Model!BA23</f>
        <v>0</v>
      </c>
      <c r="U117" s="94">
        <f>Model!BB23</f>
        <v>0</v>
      </c>
    </row>
    <row r="118" spans="1:21" ht="12.75">
      <c r="A118" s="95">
        <f t="shared" si="44"/>
        <v>14</v>
      </c>
      <c r="B118" s="94">
        <f>Model!AI24</f>
        <v>0.009621442017510182</v>
      </c>
      <c r="C118" s="94">
        <f>Model!AJ24</f>
        <v>0.01108180494027463</v>
      </c>
      <c r="D118" s="94">
        <f>Model!AK24</f>
        <v>0.013482715471572412</v>
      </c>
      <c r="E118" s="94">
        <f>Model!AL24</f>
        <v>0.01553009586167832</v>
      </c>
      <c r="F118" s="94">
        <f>Model!AM24</f>
        <v>0.018411803626426193</v>
      </c>
      <c r="G118" s="94">
        <f>Model!AN24</f>
        <v>0.021853406058644276</v>
      </c>
      <c r="H118" s="94">
        <f>Model!AO24</f>
        <v>0.025704200019052548</v>
      </c>
      <c r="I118" s="94">
        <f>Model!AP24</f>
        <v>0.03101070509254758</v>
      </c>
      <c r="J118" s="94">
        <f>Model!AQ24</f>
        <v>0.03746018582743235</v>
      </c>
      <c r="K118" s="94">
        <f>Model!AR24</f>
        <v>0.04887308614947611</v>
      </c>
      <c r="L118" s="94">
        <f>Model!AS24</f>
        <v>0.07555785183637775</v>
      </c>
      <c r="M118" s="94">
        <f>Model!AT24</f>
        <v>0.16139013894340626</v>
      </c>
      <c r="N118" s="94">
        <f>Model!AU24</f>
        <v>0.478842626716351</v>
      </c>
      <c r="O118" s="94">
        <f>Model!AV24</f>
        <v>0</v>
      </c>
      <c r="P118" s="94">
        <f>Model!AW24</f>
        <v>0</v>
      </c>
      <c r="Q118" s="94">
        <f>Model!AX24</f>
        <v>0</v>
      </c>
      <c r="R118" s="94">
        <f>Model!AY24</f>
        <v>0</v>
      </c>
      <c r="S118" s="94">
        <f>Model!AZ24</f>
        <v>0</v>
      </c>
      <c r="T118" s="94">
        <f>Model!BA24</f>
        <v>0</v>
      </c>
      <c r="U118" s="94">
        <f>Model!BB24</f>
        <v>0</v>
      </c>
    </row>
    <row r="119" spans="1:21" ht="12.75">
      <c r="A119" s="95">
        <f t="shared" si="44"/>
        <v>15</v>
      </c>
      <c r="B119" s="94">
        <f>Model!AI25</f>
        <v>0.00815721874611746</v>
      </c>
      <c r="C119" s="94">
        <f>Model!AJ25</f>
        <v>0.009395300110488052</v>
      </c>
      <c r="D119" s="94">
        <f>Model!AK25</f>
        <v>0.011430594460229336</v>
      </c>
      <c r="E119" s="94">
        <f>Model!AL25</f>
        <v>0.013165737521258325</v>
      </c>
      <c r="F119" s="94">
        <f>Model!AM25</f>
        <v>0.015605961784087977</v>
      </c>
      <c r="G119" s="94">
        <f>Model!AN25</f>
        <v>0.01851185740471152</v>
      </c>
      <c r="H119" s="94">
        <f>Model!AO25</f>
        <v>0.021733567489527983</v>
      </c>
      <c r="I119" s="94">
        <f>Model!AP25</f>
        <v>0.0260375795006704</v>
      </c>
      <c r="J119" s="94">
        <f>Model!AQ25</f>
        <v>0.030816533727142575</v>
      </c>
      <c r="K119" s="94">
        <f>Model!AR25</f>
        <v>0.03763763804048789</v>
      </c>
      <c r="L119" s="94">
        <f>Model!AS25</f>
        <v>0.04897280593654055</v>
      </c>
      <c r="M119" s="94">
        <f>Model!AT25</f>
        <v>0.07606357601005959</v>
      </c>
      <c r="N119" s="94">
        <f>Model!AU25</f>
        <v>0.16230164966095784</v>
      </c>
      <c r="O119" s="94">
        <f>Model!AV25</f>
        <v>0.4797541374339026</v>
      </c>
      <c r="P119" s="94">
        <f>Model!AW25</f>
        <v>0</v>
      </c>
      <c r="Q119" s="94">
        <f>Model!AX25</f>
        <v>0</v>
      </c>
      <c r="R119" s="94">
        <f>Model!AY25</f>
        <v>0</v>
      </c>
      <c r="S119" s="94">
        <f>Model!AZ25</f>
        <v>0</v>
      </c>
      <c r="T119" s="94">
        <f>Model!BA25</f>
        <v>0</v>
      </c>
      <c r="U119" s="94">
        <f>Model!BB25</f>
        <v>0</v>
      </c>
    </row>
    <row r="120" spans="1:21" ht="12.75">
      <c r="A120" s="95">
        <f t="shared" si="44"/>
        <v>16</v>
      </c>
      <c r="B120" s="94">
        <f>Model!AI26</f>
        <v>0.006866201866380463</v>
      </c>
      <c r="C120" s="94">
        <f>Model!AJ26</f>
        <v>0.007908326424905757</v>
      </c>
      <c r="D120" s="94">
        <f>Model!AK26</f>
        <v>0.009621442017510182</v>
      </c>
      <c r="E120" s="94">
        <f>Model!AL26</f>
        <v>0.01108180494027463</v>
      </c>
      <c r="F120" s="94">
        <f>Model!AM26</f>
        <v>0.013135090732457791</v>
      </c>
      <c r="G120" s="94">
        <f>Model!AN26</f>
        <v>0.015578099228923281</v>
      </c>
      <c r="H120" s="94">
        <f>Model!AO26</f>
        <v>0.01827918311416224</v>
      </c>
      <c r="I120" s="94">
        <f>Model!AP26</f>
        <v>0.021853406058644276</v>
      </c>
      <c r="J120" s="94">
        <f>Model!AQ26</f>
        <v>0.025704200019052548</v>
      </c>
      <c r="K120" s="94">
        <f>Model!AR26</f>
        <v>0.030733859197356633</v>
      </c>
      <c r="L120" s="94">
        <f>Model!AS26</f>
        <v>0.03746018582743235</v>
      </c>
      <c r="M120" s="94">
        <f>Model!AT26</f>
        <v>0.04887308614947611</v>
      </c>
      <c r="N120" s="94">
        <f>Model!AU26</f>
        <v>0.07585486941441089</v>
      </c>
      <c r="O120" s="94">
        <f>Model!AV26</f>
        <v>0.16139013894340626</v>
      </c>
      <c r="P120" s="94">
        <f>Model!AW26</f>
        <v>0.478842626716351</v>
      </c>
      <c r="Q120" s="94">
        <f>Model!AX26</f>
        <v>0</v>
      </c>
      <c r="R120" s="94">
        <f>Model!AY26</f>
        <v>0</v>
      </c>
      <c r="S120" s="94">
        <f>Model!AZ26</f>
        <v>0</v>
      </c>
      <c r="T120" s="94">
        <f>Model!BA26</f>
        <v>0</v>
      </c>
      <c r="U120" s="94">
        <f>Model!BB26</f>
        <v>0</v>
      </c>
    </row>
    <row r="121" spans="1:21" ht="12.75">
      <c r="A121" s="95">
        <f t="shared" si="44"/>
        <v>17</v>
      </c>
      <c r="B121" s="94">
        <f>Model!AI27</f>
        <v>0.005821292589086889</v>
      </c>
      <c r="C121" s="94">
        <f>Model!AJ27</f>
        <v>0.0067048225968854985</v>
      </c>
      <c r="D121" s="94">
        <f>Model!AK27</f>
        <v>0.00815721874611746</v>
      </c>
      <c r="E121" s="94">
        <f>Model!AL27</f>
        <v>0.009395300110488052</v>
      </c>
      <c r="F121" s="94">
        <f>Model!AM27</f>
        <v>0.011135930204649307</v>
      </c>
      <c r="G121" s="94">
        <f>Model!AN27</f>
        <v>0.013206410852728612</v>
      </c>
      <c r="H121" s="94">
        <f>Model!AO27</f>
        <v>0.01549374851183287</v>
      </c>
      <c r="I121" s="94">
        <f>Model!AP27</f>
        <v>0.01851185740471152</v>
      </c>
      <c r="J121" s="94">
        <f>Model!AQ27</f>
        <v>0.021733567489527983</v>
      </c>
      <c r="K121" s="94">
        <f>Model!AR27</f>
        <v>0.025819370862970176</v>
      </c>
      <c r="L121" s="94">
        <f>Model!AS27</f>
        <v>0.030816533727142575</v>
      </c>
      <c r="M121" s="94">
        <f>Model!AT27</f>
        <v>0.03763763804048789</v>
      </c>
      <c r="N121" s="94">
        <f>Model!AU27</f>
        <v>0.04908179274512481</v>
      </c>
      <c r="O121" s="94">
        <f>Model!AV27</f>
        <v>0.07606357601005959</v>
      </c>
      <c r="P121" s="94">
        <f>Model!AW27</f>
        <v>0.16230164966095784</v>
      </c>
      <c r="Q121" s="94">
        <f>Model!AX27</f>
        <v>0.4797541374339026</v>
      </c>
      <c r="R121" s="94">
        <f>Model!AY27</f>
        <v>0</v>
      </c>
      <c r="S121" s="94">
        <f>Model!AZ27</f>
        <v>0</v>
      </c>
      <c r="T121" s="94">
        <f>Model!BA27</f>
        <v>0</v>
      </c>
      <c r="U121" s="94">
        <f>Model!BB27</f>
        <v>0</v>
      </c>
    </row>
    <row r="122" spans="1:21" ht="12.75">
      <c r="A122" s="95">
        <f t="shared" si="44"/>
        <v>18</v>
      </c>
      <c r="B122" s="94">
        <f>Model!AI28</f>
        <v>0.002738178529918058</v>
      </c>
      <c r="C122" s="94">
        <f>Model!AJ28</f>
        <v>0.0031537668396860105</v>
      </c>
      <c r="D122" s="94">
        <f>Model!AK28</f>
        <v>0.0038369328428852698</v>
      </c>
      <c r="E122" s="94">
        <f>Model!AL28</f>
        <v>0.00441928768201226</v>
      </c>
      <c r="F122" s="94">
        <f>Model!AM28</f>
        <v>0.0052380101410121616</v>
      </c>
      <c r="G122" s="94">
        <f>Model!AN28</f>
        <v>0.006211815216478955</v>
      </c>
      <c r="H122" s="94">
        <f>Model!AO28</f>
        <v>0.007287381932262055</v>
      </c>
      <c r="I122" s="94">
        <f>Model!AP28</f>
        <v>0.00870550191732554</v>
      </c>
      <c r="J122" s="94">
        <f>Model!AQ28</f>
        <v>0.010215545822682623</v>
      </c>
      <c r="K122" s="94">
        <f>Model!AR28</f>
        <v>0.01211518261308242</v>
      </c>
      <c r="L122" s="94">
        <f>Model!AS28</f>
        <v>0.014377875030890774</v>
      </c>
      <c r="M122" s="94">
        <f>Model!AT28</f>
        <v>0.017230903362911</v>
      </c>
      <c r="N122" s="94">
        <f>Model!AU28</f>
        <v>0.021190735819725387</v>
      </c>
      <c r="O122" s="94">
        <f>Model!AV28</f>
        <v>0.028213063194364008</v>
      </c>
      <c r="P122" s="94">
        <f>Model!AW28</f>
        <v>0.046006104852983454</v>
      </c>
      <c r="Q122" s="94">
        <f>Model!AX28</f>
        <v>0.1046203880131501</v>
      </c>
      <c r="R122" s="94">
        <f>Model!AY28</f>
        <v>0.32546113018918454</v>
      </c>
      <c r="S122" s="94">
        <f>Model!AZ28</f>
        <v>0</v>
      </c>
      <c r="T122" s="94">
        <f>Model!BA28</f>
        <v>0</v>
      </c>
      <c r="U122" s="94">
        <f>Model!BB28</f>
        <v>0</v>
      </c>
    </row>
    <row r="123" spans="1:21" ht="12.75">
      <c r="A123" s="95">
        <f t="shared" si="44"/>
        <v>19</v>
      </c>
      <c r="B123" s="94">
        <f>Model!AI29</f>
        <v>0.0023357937523289206</v>
      </c>
      <c r="C123" s="94">
        <f>Model!AJ29</f>
        <v>0.0026903098558303806</v>
      </c>
      <c r="D123" s="94">
        <f>Model!AK29</f>
        <v>0.003273081822464642</v>
      </c>
      <c r="E123" s="94">
        <f>Model!AL29</f>
        <v>0.0037698563968912926</v>
      </c>
      <c r="F123" s="94">
        <f>Model!AM29</f>
        <v>0.004468259373699733</v>
      </c>
      <c r="G123" s="94">
        <f>Model!AN29</f>
        <v>0.005298938475472428</v>
      </c>
      <c r="H123" s="94">
        <f>Model!AO29</f>
        <v>0.006216367844877738</v>
      </c>
      <c r="I123" s="94">
        <f>Model!AP29</f>
        <v>0.007425732062687221</v>
      </c>
      <c r="J123" s="94">
        <f>Model!AQ29</f>
        <v>0.008712603875086697</v>
      </c>
      <c r="K123" s="94">
        <f>Model!AR29</f>
        <v>0.010327837135954435</v>
      </c>
      <c r="L123" s="94">
        <f>Model!AS29</f>
        <v>0.012237278650695849</v>
      </c>
      <c r="M123" s="94">
        <f>Model!AT29</f>
        <v>0.0145871186445386</v>
      </c>
      <c r="N123" s="94">
        <f>Model!AU29</f>
        <v>0.017628993756330646</v>
      </c>
      <c r="O123" s="94">
        <f>Model!AV29</f>
        <v>0.022280748349397417</v>
      </c>
      <c r="P123" s="94">
        <f>Model!AW29</f>
        <v>0.03208229963849363</v>
      </c>
      <c r="Q123" s="94">
        <f>Model!AX29</f>
        <v>0.06066513015684605</v>
      </c>
      <c r="R123" s="94">
        <f>Model!AY29</f>
        <v>0.16302469827469057</v>
      </c>
      <c r="S123" s="94">
        <f>Model!AZ29</f>
        <v>0.3092268648839749</v>
      </c>
      <c r="T123" s="94">
        <f>Model!BA29</f>
        <v>0</v>
      </c>
      <c r="U123" s="94">
        <f>Model!BB29</f>
        <v>0</v>
      </c>
    </row>
    <row r="124" spans="1:21" ht="12.75">
      <c r="A124" s="95">
        <f t="shared" si="44"/>
        <v>20</v>
      </c>
      <c r="B124" s="94">
        <f>Model!AI30</f>
        <v>0.026544250233740595</v>
      </c>
      <c r="C124" s="94">
        <f>Model!AJ30</f>
        <v>0.030573014423019247</v>
      </c>
      <c r="D124" s="94">
        <f>Model!AK30</f>
        <v>0.037195702306105013</v>
      </c>
      <c r="E124" s="94">
        <f>Model!AL30</f>
        <v>0.04284109606142334</v>
      </c>
      <c r="F124" s="94">
        <f>Model!AM30</f>
        <v>0.050777771096739574</v>
      </c>
      <c r="G124" s="94">
        <f>Model!AN30</f>
        <v>0.06021745458773081</v>
      </c>
      <c r="H124" s="94">
        <f>Model!AO30</f>
        <v>0.07064231015416281</v>
      </c>
      <c r="I124" s="94">
        <f>Model!AP30</f>
        <v>0.08438148438132133</v>
      </c>
      <c r="J124" s="94">
        <f>Model!AQ30</f>
        <v>0.09899084185952839</v>
      </c>
      <c r="K124" s="94">
        <f>Model!AR30</f>
        <v>0.11728517361330389</v>
      </c>
      <c r="L124" s="94">
        <f>Model!AS30</f>
        <v>0.13874160538429162</v>
      </c>
      <c r="M124" s="94">
        <f>Model!AT30</f>
        <v>0.16446340141521795</v>
      </c>
      <c r="N124" s="94">
        <f>Model!AU30</f>
        <v>0.1950993318870994</v>
      </c>
      <c r="O124" s="94">
        <f>Model!AV30</f>
        <v>0.23229833606887013</v>
      </c>
      <c r="P124" s="94">
        <f>Model!AW30</f>
        <v>0.28076731913121405</v>
      </c>
      <c r="Q124" s="94">
        <f>Model!AX30</f>
        <v>0.35496034439610125</v>
      </c>
      <c r="R124" s="94">
        <f>Model!AY30</f>
        <v>0.5115141715361249</v>
      </c>
      <c r="S124" s="94">
        <f>Model!AZ30</f>
        <v>0.6907731351160251</v>
      </c>
      <c r="T124" s="94">
        <f>Model!BA30</f>
        <v>1</v>
      </c>
      <c r="U124" s="94">
        <f>Model!BB30</f>
        <v>0</v>
      </c>
    </row>
    <row r="126" spans="2:21" ht="12.75">
      <c r="B126" s="94">
        <f aca="true" t="shared" si="45" ref="B126:U126">SUM(B105:B124)</f>
        <v>0.9999999999999998</v>
      </c>
      <c r="C126" s="94">
        <f t="shared" si="45"/>
        <v>1.0000000000000002</v>
      </c>
      <c r="D126" s="94">
        <f t="shared" si="45"/>
        <v>0.9999999999999999</v>
      </c>
      <c r="E126" s="94">
        <f t="shared" si="45"/>
        <v>1</v>
      </c>
      <c r="F126" s="94">
        <f t="shared" si="45"/>
        <v>1.0000000000000002</v>
      </c>
      <c r="G126" s="94">
        <f t="shared" si="45"/>
        <v>1</v>
      </c>
      <c r="H126" s="94">
        <f t="shared" si="45"/>
        <v>0.9999999999999999</v>
      </c>
      <c r="I126" s="94">
        <f t="shared" si="45"/>
        <v>1.0000000000000002</v>
      </c>
      <c r="J126" s="94">
        <f t="shared" si="45"/>
        <v>1</v>
      </c>
      <c r="K126" s="94">
        <f t="shared" si="45"/>
        <v>1</v>
      </c>
      <c r="L126" s="94">
        <f t="shared" si="45"/>
        <v>1</v>
      </c>
      <c r="M126" s="94">
        <f t="shared" si="45"/>
        <v>1</v>
      </c>
      <c r="N126" s="94">
        <f t="shared" si="45"/>
        <v>1</v>
      </c>
      <c r="O126" s="94">
        <f t="shared" si="45"/>
        <v>1</v>
      </c>
      <c r="P126" s="94">
        <f t="shared" si="45"/>
        <v>1</v>
      </c>
      <c r="Q126" s="94">
        <f t="shared" si="45"/>
        <v>1</v>
      </c>
      <c r="R126" s="94">
        <f t="shared" si="45"/>
        <v>1</v>
      </c>
      <c r="S126" s="94">
        <f t="shared" si="45"/>
        <v>1</v>
      </c>
      <c r="T126" s="94">
        <f t="shared" si="45"/>
        <v>1</v>
      </c>
      <c r="U126" s="94">
        <f t="shared" si="45"/>
        <v>0</v>
      </c>
    </row>
    <row r="133" ht="12.75">
      <c r="B133" s="94" t="s">
        <v>16</v>
      </c>
    </row>
    <row r="134" spans="2:21" ht="12.75">
      <c r="B134" s="95">
        <v>1</v>
      </c>
      <c r="C134" s="95">
        <f aca="true" t="shared" si="46" ref="C134:U134">B134+1</f>
        <v>2</v>
      </c>
      <c r="D134" s="95">
        <f t="shared" si="46"/>
        <v>3</v>
      </c>
      <c r="E134" s="95">
        <f t="shared" si="46"/>
        <v>4</v>
      </c>
      <c r="F134" s="95">
        <f t="shared" si="46"/>
        <v>5</v>
      </c>
      <c r="G134" s="95">
        <f t="shared" si="46"/>
        <v>6</v>
      </c>
      <c r="H134" s="95">
        <f t="shared" si="46"/>
        <v>7</v>
      </c>
      <c r="I134" s="95">
        <f t="shared" si="46"/>
        <v>8</v>
      </c>
      <c r="J134" s="95">
        <f t="shared" si="46"/>
        <v>9</v>
      </c>
      <c r="K134" s="95">
        <f t="shared" si="46"/>
        <v>10</v>
      </c>
      <c r="L134" s="95">
        <f t="shared" si="46"/>
        <v>11</v>
      </c>
      <c r="M134" s="95">
        <f t="shared" si="46"/>
        <v>12</v>
      </c>
      <c r="N134" s="95">
        <f t="shared" si="46"/>
        <v>13</v>
      </c>
      <c r="O134" s="95">
        <f t="shared" si="46"/>
        <v>14</v>
      </c>
      <c r="P134" s="95">
        <f t="shared" si="46"/>
        <v>15</v>
      </c>
      <c r="Q134" s="95">
        <f t="shared" si="46"/>
        <v>16</v>
      </c>
      <c r="R134" s="95">
        <f t="shared" si="46"/>
        <v>17</v>
      </c>
      <c r="S134" s="95">
        <f t="shared" si="46"/>
        <v>18</v>
      </c>
      <c r="T134" s="95">
        <f t="shared" si="46"/>
        <v>19</v>
      </c>
      <c r="U134" s="95">
        <f t="shared" si="46"/>
        <v>20</v>
      </c>
    </row>
    <row r="135" spans="1:27" ht="12.75">
      <c r="A135" s="95">
        <v>1</v>
      </c>
      <c r="B135" s="94">
        <f aca="true" t="array" ref="B135:U154">MINVERSE(B75:U94)</f>
        <v>1.0000000000000004</v>
      </c>
      <c r="C135" s="94">
        <v>-2.395983841481716E-16</v>
      </c>
      <c r="D135" s="94">
        <v>1.348999305708193E-16</v>
      </c>
      <c r="E135" s="94">
        <v>-1.37920078270166E-16</v>
      </c>
      <c r="F135" s="94">
        <v>-9.664472637909443E-17</v>
      </c>
      <c r="G135" s="94">
        <v>6.845668118519188E-17</v>
      </c>
      <c r="H135" s="94">
        <v>-3.322162469281371E-17</v>
      </c>
      <c r="I135" s="94">
        <v>4.2282067790853814E-17</v>
      </c>
      <c r="J135" s="94">
        <v>-5.0335794989111685E-18</v>
      </c>
      <c r="K135" s="94">
        <v>-2.184573502527447E-16</v>
      </c>
      <c r="L135" s="94">
        <v>-6.946339708497412E-17</v>
      </c>
      <c r="M135" s="94">
        <v>-1.6208125986493963E-16</v>
      </c>
      <c r="N135" s="94">
        <v>-9.765144227887666E-17</v>
      </c>
      <c r="O135" s="94">
        <v>-7.550369248366752E-19</v>
      </c>
      <c r="P135" s="94">
        <v>0</v>
      </c>
      <c r="Q135" s="94">
        <v>0</v>
      </c>
      <c r="R135" s="94">
        <v>-9.193044730736922E-17</v>
      </c>
      <c r="S135" s="94">
        <v>0</v>
      </c>
      <c r="T135" s="94">
        <v>0</v>
      </c>
      <c r="U135" s="94">
        <v>0</v>
      </c>
      <c r="X135" s="96"/>
      <c r="Y135" s="96"/>
      <c r="Z135" s="96"/>
      <c r="AA135" s="96"/>
    </row>
    <row r="136" spans="1:27" ht="12.75">
      <c r="A136" s="95">
        <f aca="true" t="shared" si="47" ref="A136:A154">A135+1</f>
        <v>2</v>
      </c>
      <c r="B136" s="94">
        <v>-0.32059578207201417</v>
      </c>
      <c r="C136" s="94">
        <v>1.0000000000000013</v>
      </c>
      <c r="D136" s="94">
        <v>-6.933710423682266E-17</v>
      </c>
      <c r="E136" s="94">
        <v>8.251454737481586E-17</v>
      </c>
      <c r="F136" s="94">
        <v>1.5372257034506895E-16</v>
      </c>
      <c r="G136" s="94">
        <v>2.3448848125661324E-16</v>
      </c>
      <c r="H136" s="94">
        <v>2.0407229508297598E-16</v>
      </c>
      <c r="I136" s="94">
        <v>8.164481472831104E-17</v>
      </c>
      <c r="J136" s="94">
        <v>2.343692560432084E-16</v>
      </c>
      <c r="K136" s="94">
        <v>3.730572212722465E-16</v>
      </c>
      <c r="L136" s="94">
        <v>4.272848225025661E-17</v>
      </c>
      <c r="M136" s="94">
        <v>2.2274174067947857E-16</v>
      </c>
      <c r="N136" s="94">
        <v>4.2153755580510014E-17</v>
      </c>
      <c r="O136" s="94">
        <v>-2.5781306002522562E-17</v>
      </c>
      <c r="P136" s="94">
        <v>0</v>
      </c>
      <c r="Q136" s="94">
        <v>0</v>
      </c>
      <c r="R136" s="94">
        <v>2.947251365073624E-17</v>
      </c>
      <c r="S136" s="94">
        <v>0</v>
      </c>
      <c r="T136" s="94">
        <v>0</v>
      </c>
      <c r="U136" s="94">
        <v>0</v>
      </c>
      <c r="X136" s="96"/>
      <c r="Y136" s="96"/>
      <c r="Z136" s="96"/>
      <c r="AA136" s="96"/>
    </row>
    <row r="137" spans="1:27" ht="12.75">
      <c r="A137" s="95">
        <f t="shared" si="47"/>
        <v>3</v>
      </c>
      <c r="B137" s="94">
        <v>0.00404699691217208</v>
      </c>
      <c r="C137" s="94">
        <v>-0.5112771528707657</v>
      </c>
      <c r="D137" s="94">
        <v>1.0000000000000002</v>
      </c>
      <c r="E137" s="94">
        <v>3.742642497108752E-16</v>
      </c>
      <c r="F137" s="94">
        <v>-4.121667982156879E-16</v>
      </c>
      <c r="G137" s="94">
        <v>-1.0873592231965998E-16</v>
      </c>
      <c r="H137" s="94">
        <v>1.3684657569233578E-16</v>
      </c>
      <c r="I137" s="94">
        <v>1.551842778400521E-16</v>
      </c>
      <c r="J137" s="94">
        <v>1.5558420476935261E-16</v>
      </c>
      <c r="K137" s="94">
        <v>-3.5036966812445694E-16</v>
      </c>
      <c r="L137" s="94">
        <v>2.5334108044042577E-16</v>
      </c>
      <c r="M137" s="94">
        <v>-1.1080291308057107E-16</v>
      </c>
      <c r="N137" s="94">
        <v>-4.498125515343181E-18</v>
      </c>
      <c r="O137" s="94">
        <v>1.3809055893031791E-17</v>
      </c>
      <c r="P137" s="94">
        <v>0</v>
      </c>
      <c r="Q137" s="94">
        <v>0</v>
      </c>
      <c r="R137" s="94">
        <v>-3.720422363875383E-19</v>
      </c>
      <c r="S137" s="94">
        <v>0</v>
      </c>
      <c r="T137" s="94">
        <v>0</v>
      </c>
      <c r="U137" s="94">
        <v>0</v>
      </c>
      <c r="X137" s="96"/>
      <c r="Y137" s="96"/>
      <c r="Z137" s="96"/>
      <c r="AA137" s="96"/>
    </row>
    <row r="138" spans="1:27" ht="12.75">
      <c r="A138" s="95">
        <f t="shared" si="47"/>
        <v>4</v>
      </c>
      <c r="B138" s="94">
        <v>0.007317595185835851</v>
      </c>
      <c r="C138" s="94">
        <v>0.16662829569467164</v>
      </c>
      <c r="D138" s="94">
        <v>-0.8840564524782581</v>
      </c>
      <c r="E138" s="94">
        <v>0.9999999999999992</v>
      </c>
      <c r="F138" s="94">
        <v>1.231622209569013E-16</v>
      </c>
      <c r="G138" s="94">
        <v>-4.940637603500859E-17</v>
      </c>
      <c r="H138" s="94">
        <v>-1.4266156726672275E-17</v>
      </c>
      <c r="I138" s="94">
        <v>-1.1004835449853755E-16</v>
      </c>
      <c r="J138" s="94">
        <v>-2.252001500781627E-16</v>
      </c>
      <c r="K138" s="94">
        <v>2.184408709707658E-16</v>
      </c>
      <c r="L138" s="94">
        <v>-2.315454696789823E-16</v>
      </c>
      <c r="M138" s="94">
        <v>4.760534325639232E-17</v>
      </c>
      <c r="N138" s="94">
        <v>-5.622435089333811E-19</v>
      </c>
      <c r="O138" s="94">
        <v>-4.84857795203814E-18</v>
      </c>
      <c r="P138" s="94">
        <v>0</v>
      </c>
      <c r="Q138" s="94">
        <v>0</v>
      </c>
      <c r="R138" s="94">
        <v>-6.727097986481876E-19</v>
      </c>
      <c r="S138" s="94">
        <v>0</v>
      </c>
      <c r="T138" s="94">
        <v>0</v>
      </c>
      <c r="U138" s="94">
        <v>0</v>
      </c>
      <c r="X138" s="96"/>
      <c r="Y138" s="96"/>
      <c r="Z138" s="96"/>
      <c r="AA138" s="96"/>
    </row>
    <row r="139" spans="1:27" ht="12.75">
      <c r="A139" s="95">
        <f t="shared" si="47"/>
        <v>5</v>
      </c>
      <c r="B139" s="94">
        <v>-0.03782383579655968</v>
      </c>
      <c r="C139" s="94">
        <v>-0.761914781465208</v>
      </c>
      <c r="D139" s="94">
        <v>4.774818443760577</v>
      </c>
      <c r="E139" s="94">
        <v>-6.970812351883175</v>
      </c>
      <c r="F139" s="94">
        <v>0.9999999999999997</v>
      </c>
      <c r="G139" s="94">
        <v>5.309996507761076E-16</v>
      </c>
      <c r="H139" s="94">
        <v>-1.326816608108937E-16</v>
      </c>
      <c r="I139" s="94">
        <v>5.206253645398648E-16</v>
      </c>
      <c r="J139" s="94">
        <v>1.2806783351109103E-15</v>
      </c>
      <c r="K139" s="94">
        <v>-1.1348923127384468E-15</v>
      </c>
      <c r="L139" s="94">
        <v>1.2547426195203036E-15</v>
      </c>
      <c r="M139" s="94">
        <v>-2.3424046291305926E-16</v>
      </c>
      <c r="N139" s="94">
        <v>4.914135585588656E-18</v>
      </c>
      <c r="O139" s="94">
        <v>2.265962520021436E-17</v>
      </c>
      <c r="P139" s="94">
        <v>0</v>
      </c>
      <c r="Q139" s="94">
        <v>0</v>
      </c>
      <c r="R139" s="94">
        <v>3.477162143658523E-18</v>
      </c>
      <c r="S139" s="94">
        <v>0</v>
      </c>
      <c r="T139" s="94">
        <v>0</v>
      </c>
      <c r="U139" s="94">
        <v>0</v>
      </c>
      <c r="X139" s="96"/>
      <c r="Y139" s="96"/>
      <c r="Z139" s="96"/>
      <c r="AA139" s="96"/>
    </row>
    <row r="140" spans="1:27" ht="12.75">
      <c r="A140" s="95">
        <f t="shared" si="47"/>
        <v>6</v>
      </c>
      <c r="B140" s="94">
        <v>0.27500512597349885</v>
      </c>
      <c r="C140" s="94">
        <v>7.4146143525882895</v>
      </c>
      <c r="D140" s="94">
        <v>-32.81936315832847</v>
      </c>
      <c r="E140" s="94">
        <v>27.33833218395914</v>
      </c>
      <c r="F140" s="94">
        <v>3.685379851028418</v>
      </c>
      <c r="G140" s="94">
        <v>0.9999999999999996</v>
      </c>
      <c r="H140" s="94">
        <v>-1.8041048620094596E-15</v>
      </c>
      <c r="I140" s="94">
        <v>-4.414500363527735E-15</v>
      </c>
      <c r="J140" s="94">
        <v>-7.87138281209632E-15</v>
      </c>
      <c r="K140" s="94">
        <v>8.502701289365684E-15</v>
      </c>
      <c r="L140" s="94">
        <v>-8.561813506338472E-15</v>
      </c>
      <c r="M140" s="94">
        <v>1.9743480468910863E-15</v>
      </c>
      <c r="N140" s="94">
        <v>-4.7289773578229614E-18</v>
      </c>
      <c r="O140" s="94">
        <v>-2.1162173676257752E-16</v>
      </c>
      <c r="P140" s="94">
        <v>0</v>
      </c>
      <c r="Q140" s="94">
        <v>0</v>
      </c>
      <c r="R140" s="94">
        <v>-2.5281344242564505E-17</v>
      </c>
      <c r="S140" s="94">
        <v>0</v>
      </c>
      <c r="T140" s="94">
        <v>0</v>
      </c>
      <c r="U140" s="94">
        <v>0</v>
      </c>
      <c r="X140" s="96"/>
      <c r="Y140" s="96"/>
      <c r="Z140" s="96"/>
      <c r="AA140" s="96"/>
    </row>
    <row r="141" spans="1:27" ht="12.75">
      <c r="A141" s="95">
        <f t="shared" si="47"/>
        <v>7</v>
      </c>
      <c r="B141" s="94">
        <v>0.1753981592302462</v>
      </c>
      <c r="C141" s="94">
        <v>19.23851518953627</v>
      </c>
      <c r="D141" s="94">
        <v>-48.552800969140804</v>
      </c>
      <c r="E141" s="94">
        <v>9.304569629135887</v>
      </c>
      <c r="F141" s="94">
        <v>4.09739673690086</v>
      </c>
      <c r="G141" s="94">
        <v>2.291361139856955</v>
      </c>
      <c r="H141" s="94">
        <v>0.9999999999999939</v>
      </c>
      <c r="I141" s="94">
        <v>-7.42223114354296E-15</v>
      </c>
      <c r="J141" s="94">
        <v>-9.059488013442141E-15</v>
      </c>
      <c r="K141" s="94">
        <v>1.5210895967491927E-14</v>
      </c>
      <c r="L141" s="94">
        <v>-1.2450948672519019E-14</v>
      </c>
      <c r="M141" s="94">
        <v>4.3660183197311525E-15</v>
      </c>
      <c r="N141" s="94">
        <v>1.16946919278513E-16</v>
      </c>
      <c r="O141" s="94">
        <v>-5.262611367533085E-16</v>
      </c>
      <c r="P141" s="94">
        <v>0</v>
      </c>
      <c r="Q141" s="94">
        <v>0</v>
      </c>
      <c r="R141" s="94">
        <v>-1.612443123492585E-17</v>
      </c>
      <c r="S141" s="94">
        <v>0</v>
      </c>
      <c r="T141" s="94">
        <v>0</v>
      </c>
      <c r="U141" s="94">
        <v>0</v>
      </c>
      <c r="X141" s="96"/>
      <c r="Y141" s="96"/>
      <c r="Z141" s="96"/>
      <c r="AA141" s="96"/>
    </row>
    <row r="142" spans="1:27" ht="12.75">
      <c r="A142" s="95">
        <f t="shared" si="47"/>
        <v>8</v>
      </c>
      <c r="B142" s="94">
        <v>0.9121452386064433</v>
      </c>
      <c r="C142" s="94">
        <v>-20.143469029391426</v>
      </c>
      <c r="D142" s="94">
        <v>25.010819733795973</v>
      </c>
      <c r="E142" s="94">
        <v>6.051628110428172</v>
      </c>
      <c r="F142" s="94">
        <v>3.979972824936695</v>
      </c>
      <c r="G142" s="94">
        <v>3.009728513887718</v>
      </c>
      <c r="H142" s="94">
        <v>2.128378326200141</v>
      </c>
      <c r="I142" s="94">
        <v>1.0000000000000038</v>
      </c>
      <c r="J142" s="94">
        <v>2.0376304898472823E-15</v>
      </c>
      <c r="K142" s="94">
        <v>-1.1189601525212491E-14</v>
      </c>
      <c r="L142" s="94">
        <v>6.121574554015628E-15</v>
      </c>
      <c r="M142" s="94">
        <v>-4.159197462941115E-15</v>
      </c>
      <c r="N142" s="94">
        <v>-2.749643416697327E-16</v>
      </c>
      <c r="O142" s="94">
        <v>5.354568758831637E-16</v>
      </c>
      <c r="P142" s="94">
        <v>0</v>
      </c>
      <c r="Q142" s="94">
        <v>0</v>
      </c>
      <c r="R142" s="94">
        <v>-8.385391979437886E-17</v>
      </c>
      <c r="S142" s="94">
        <v>0</v>
      </c>
      <c r="T142" s="94">
        <v>0</v>
      </c>
      <c r="U142" s="94">
        <v>0</v>
      </c>
      <c r="X142" s="96"/>
      <c r="Y142" s="96"/>
      <c r="Z142" s="96"/>
      <c r="AA142" s="96"/>
    </row>
    <row r="143" spans="1:27" ht="12.75">
      <c r="A143" s="95">
        <f t="shared" si="47"/>
        <v>9</v>
      </c>
      <c r="B143" s="94">
        <v>2.7797564195419215</v>
      </c>
      <c r="C143" s="94">
        <v>-19.135949733838597</v>
      </c>
      <c r="D143" s="94">
        <v>8.825261339760102</v>
      </c>
      <c r="E143" s="94">
        <v>4.482903471039159</v>
      </c>
      <c r="F143" s="94">
        <v>3.5534964214001743</v>
      </c>
      <c r="G143" s="94">
        <v>3.1044473337219043</v>
      </c>
      <c r="H143" s="94">
        <v>2.669140865363505</v>
      </c>
      <c r="I143" s="94">
        <v>1.9475294312545337</v>
      </c>
      <c r="J143" s="94">
        <v>0.9999999999999979</v>
      </c>
      <c r="K143" s="94">
        <v>-8.140506527646128E-15</v>
      </c>
      <c r="L143" s="94">
        <v>1.7399022535484E-15</v>
      </c>
      <c r="M143" s="94">
        <v>-3.920020739922299E-15</v>
      </c>
      <c r="N143" s="94">
        <v>-4.681664698302924E-16</v>
      </c>
      <c r="O143" s="94">
        <v>4.996104864606852E-16</v>
      </c>
      <c r="P143" s="94">
        <v>0</v>
      </c>
      <c r="Q143" s="94">
        <v>0</v>
      </c>
      <c r="R143" s="94">
        <v>-2.55544251054022E-16</v>
      </c>
      <c r="S143" s="94">
        <v>0</v>
      </c>
      <c r="T143" s="94">
        <v>0</v>
      </c>
      <c r="U143" s="94">
        <v>0</v>
      </c>
      <c r="X143" s="96"/>
      <c r="Y143" s="96"/>
      <c r="Z143" s="96"/>
      <c r="AA143" s="96"/>
    </row>
    <row r="144" spans="1:27" ht="12.75">
      <c r="A144" s="95">
        <f t="shared" si="47"/>
        <v>10</v>
      </c>
      <c r="B144" s="94">
        <v>-186.79051064659137</v>
      </c>
      <c r="C144" s="94">
        <v>570.4253794506791</v>
      </c>
      <c r="D144" s="94">
        <v>5.927201916974983</v>
      </c>
      <c r="E144" s="94">
        <v>3.966931766130615</v>
      </c>
      <c r="F144" s="94">
        <v>3.4613858773043074</v>
      </c>
      <c r="G144" s="94">
        <v>3.25073885920276</v>
      </c>
      <c r="H144" s="94">
        <v>3.0628700556079416</v>
      </c>
      <c r="I144" s="94">
        <v>2.6707776778022407</v>
      </c>
      <c r="J144" s="94">
        <v>2.035599152770396</v>
      </c>
      <c r="K144" s="94">
        <v>1.000000000000213</v>
      </c>
      <c r="L144" s="94">
        <v>2.6504486669961417E-14</v>
      </c>
      <c r="M144" s="94">
        <v>1.2755284209918933E-13</v>
      </c>
      <c r="N144" s="94">
        <v>2.443382364887068E-14</v>
      </c>
      <c r="O144" s="94">
        <v>-1.4701707449744223E-14</v>
      </c>
      <c r="P144" s="94">
        <v>0</v>
      </c>
      <c r="Q144" s="94">
        <v>0</v>
      </c>
      <c r="R144" s="94">
        <v>1.7171735196513122E-14</v>
      </c>
      <c r="S144" s="94">
        <v>0</v>
      </c>
      <c r="T144" s="94">
        <v>0</v>
      </c>
      <c r="U144" s="94">
        <v>0</v>
      </c>
      <c r="X144" s="96"/>
      <c r="Y144" s="96"/>
      <c r="Z144" s="96"/>
      <c r="AA144" s="96"/>
    </row>
    <row r="145" spans="1:27" ht="12.75">
      <c r="A145" s="95">
        <f t="shared" si="47"/>
        <v>11</v>
      </c>
      <c r="B145" s="94">
        <v>-10.153495208907199</v>
      </c>
      <c r="C145" s="94">
        <v>14.05822769515103</v>
      </c>
      <c r="D145" s="94">
        <v>4.48365087329961</v>
      </c>
      <c r="E145" s="94">
        <v>3.4726323583379854</v>
      </c>
      <c r="F145" s="94">
        <v>3.20097609890322</v>
      </c>
      <c r="G145" s="94">
        <v>3.1237683975087918</v>
      </c>
      <c r="H145" s="94">
        <v>3.0834874907259744</v>
      </c>
      <c r="I145" s="94">
        <v>2.9385013011165615</v>
      </c>
      <c r="J145" s="94">
        <v>2.6386672035781333</v>
      </c>
      <c r="K145" s="94">
        <v>1.9765497556528997</v>
      </c>
      <c r="L145" s="94">
        <v>1.0000000000000027</v>
      </c>
      <c r="M145" s="94">
        <v>3.938884952666832E-15</v>
      </c>
      <c r="N145" s="94">
        <v>1.1463918892090036E-15</v>
      </c>
      <c r="O145" s="94">
        <v>-3.5763507654810795E-16</v>
      </c>
      <c r="P145" s="94">
        <v>0</v>
      </c>
      <c r="Q145" s="94">
        <v>0</v>
      </c>
      <c r="R145" s="94">
        <v>9.334153562880704E-16</v>
      </c>
      <c r="S145" s="94">
        <v>0</v>
      </c>
      <c r="T145" s="94">
        <v>0</v>
      </c>
      <c r="U145" s="94">
        <v>0</v>
      </c>
      <c r="X145" s="96"/>
      <c r="Y145" s="96"/>
      <c r="Z145" s="96"/>
      <c r="AA145" s="96"/>
    </row>
    <row r="146" spans="1:27" ht="12.75">
      <c r="A146" s="95">
        <f t="shared" si="47"/>
        <v>12</v>
      </c>
      <c r="B146" s="94">
        <v>-13.90181759059798</v>
      </c>
      <c r="C146" s="94">
        <v>7.277135661343943</v>
      </c>
      <c r="D146" s="94">
        <v>3.791149010727235</v>
      </c>
      <c r="E146" s="94">
        <v>3.1953135106006587</v>
      </c>
      <c r="F146" s="94">
        <v>3.039022266690314</v>
      </c>
      <c r="G146" s="94">
        <v>3.0224845971534537</v>
      </c>
      <c r="H146" s="94">
        <v>3.0490137990996167</v>
      </c>
      <c r="I146" s="94">
        <v>3.034961031305956</v>
      </c>
      <c r="J146" s="94">
        <v>2.943830794848826</v>
      </c>
      <c r="K146" s="94">
        <v>2.614635492183873</v>
      </c>
      <c r="L146" s="94">
        <v>1.9853530983508798</v>
      </c>
      <c r="M146" s="94">
        <v>1.0000000000000033</v>
      </c>
      <c r="N146" s="94">
        <v>1.4396119655984845E-15</v>
      </c>
      <c r="O146" s="94">
        <v>-1.7995149569981056E-16</v>
      </c>
      <c r="P146" s="94">
        <v>0</v>
      </c>
      <c r="Q146" s="94">
        <v>0</v>
      </c>
      <c r="R146" s="94">
        <v>1.2780003094891262E-15</v>
      </c>
      <c r="S146" s="94">
        <v>0</v>
      </c>
      <c r="T146" s="94">
        <v>0</v>
      </c>
      <c r="U146" s="94">
        <v>0</v>
      </c>
      <c r="X146" s="96"/>
      <c r="Y146" s="96"/>
      <c r="Z146" s="96"/>
      <c r="AA146" s="96"/>
    </row>
    <row r="147" spans="1:27" ht="12.75">
      <c r="A147" s="95">
        <f t="shared" si="47"/>
        <v>13</v>
      </c>
      <c r="B147" s="94">
        <v>-223.45892417590156</v>
      </c>
      <c r="C147" s="94">
        <v>5.119797965669029</v>
      </c>
      <c r="D147" s="94">
        <v>3.3662087827038554</v>
      </c>
      <c r="E147" s="94">
        <v>2.9908122059715407</v>
      </c>
      <c r="F147" s="94">
        <v>2.8971559272105645</v>
      </c>
      <c r="G147" s="94">
        <v>2.906217635399951</v>
      </c>
      <c r="H147" s="94">
        <v>2.956976323869354</v>
      </c>
      <c r="I147" s="94">
        <v>3.0024264749636917</v>
      </c>
      <c r="J147" s="94">
        <v>3.021298789171957</v>
      </c>
      <c r="K147" s="94">
        <v>2.9109204537879547</v>
      </c>
      <c r="L147" s="94">
        <v>2.606658832429585</v>
      </c>
      <c r="M147" s="94">
        <v>1.9756821974832584</v>
      </c>
      <c r="N147" s="94">
        <v>1.000000000000022</v>
      </c>
      <c r="O147" s="94">
        <v>0</v>
      </c>
      <c r="P147" s="94">
        <v>0</v>
      </c>
      <c r="Q147" s="94">
        <v>0</v>
      </c>
      <c r="R147" s="94">
        <v>2.0542678854314118E-14</v>
      </c>
      <c r="S147" s="94">
        <v>0</v>
      </c>
      <c r="T147" s="94">
        <v>0</v>
      </c>
      <c r="U147" s="94">
        <v>0</v>
      </c>
      <c r="X147" s="96"/>
      <c r="Y147" s="96"/>
      <c r="Z147" s="96"/>
      <c r="AA147" s="96"/>
    </row>
    <row r="148" spans="1:27" ht="12.75">
      <c r="A148" s="95">
        <f t="shared" si="47"/>
        <v>14</v>
      </c>
      <c r="B148" s="94">
        <v>14.34569199044502</v>
      </c>
      <c r="C148" s="94">
        <v>4.139953937982368</v>
      </c>
      <c r="D148" s="94">
        <v>3.1108069031793777</v>
      </c>
      <c r="E148" s="94">
        <v>2.8604398885774773</v>
      </c>
      <c r="F148" s="94">
        <v>2.8012897856193657</v>
      </c>
      <c r="G148" s="94">
        <v>2.8189101910652274</v>
      </c>
      <c r="H148" s="94">
        <v>2.8732567815153427</v>
      </c>
      <c r="I148" s="94">
        <v>2.9383599303535513</v>
      </c>
      <c r="J148" s="94">
        <v>3.003513043612732</v>
      </c>
      <c r="K148" s="94">
        <v>3.0092490092646162</v>
      </c>
      <c r="L148" s="94">
        <v>2.913539454560626</v>
      </c>
      <c r="M148" s="94">
        <v>2.604965373359588</v>
      </c>
      <c r="N148" s="94">
        <v>1.9775930393521137</v>
      </c>
      <c r="O148" s="94">
        <v>0.9999999999999999</v>
      </c>
      <c r="P148" s="94">
        <v>0</v>
      </c>
      <c r="Q148" s="94">
        <v>0</v>
      </c>
      <c r="R148" s="94">
        <v>-1.3188058816153534E-15</v>
      </c>
      <c r="S148" s="94">
        <v>0</v>
      </c>
      <c r="T148" s="94">
        <v>0</v>
      </c>
      <c r="U148" s="94">
        <v>0</v>
      </c>
      <c r="X148" s="96"/>
      <c r="Y148" s="96"/>
      <c r="Z148" s="96"/>
      <c r="AA148" s="96"/>
    </row>
    <row r="149" spans="1:27" ht="12.75">
      <c r="A149" s="95">
        <f t="shared" si="47"/>
        <v>15</v>
      </c>
      <c r="B149" s="94">
        <v>7.29648750000773</v>
      </c>
      <c r="C149" s="94">
        <v>3.6011485366523206</v>
      </c>
      <c r="D149" s="94">
        <v>2.944448526625878</v>
      </c>
      <c r="E149" s="94">
        <v>2.771252848416984</v>
      </c>
      <c r="F149" s="94">
        <v>2.7322390753019574</v>
      </c>
      <c r="G149" s="94">
        <v>2.7508519524298225</v>
      </c>
      <c r="H149" s="94">
        <v>2.799980990881669</v>
      </c>
      <c r="I149" s="94">
        <v>2.865397036578072</v>
      </c>
      <c r="J149" s="94">
        <v>2.942626372382883</v>
      </c>
      <c r="K149" s="94">
        <v>2.9995569873175327</v>
      </c>
      <c r="L149" s="94">
        <v>3.014952224406366</v>
      </c>
      <c r="M149" s="94">
        <v>2.916420434040907</v>
      </c>
      <c r="N149" s="94">
        <v>2.6102584594958853</v>
      </c>
      <c r="O149" s="94">
        <v>1.981313486811743</v>
      </c>
      <c r="P149" s="94">
        <v>1</v>
      </c>
      <c r="Q149" s="94">
        <v>0</v>
      </c>
      <c r="R149" s="94">
        <v>-6.707693596483382E-16</v>
      </c>
      <c r="S149" s="94">
        <v>0</v>
      </c>
      <c r="T149" s="94">
        <v>0</v>
      </c>
      <c r="U149" s="94">
        <v>0</v>
      </c>
      <c r="X149" s="96"/>
      <c r="Y149" s="96"/>
      <c r="Z149" s="96"/>
      <c r="AA149" s="96"/>
    </row>
    <row r="150" spans="1:27" ht="12.75">
      <c r="A150" s="95">
        <f t="shared" si="47"/>
        <v>16</v>
      </c>
      <c r="B150" s="94">
        <v>5.151249708713711</v>
      </c>
      <c r="C150" s="94">
        <v>3.2630164231863983</v>
      </c>
      <c r="D150" s="94">
        <v>2.822936605817592</v>
      </c>
      <c r="E150" s="94">
        <v>2.700388809185297</v>
      </c>
      <c r="F150" s="94">
        <v>2.673762802996245</v>
      </c>
      <c r="G150" s="94">
        <v>2.6903003168054345</v>
      </c>
      <c r="H150" s="94">
        <v>2.731203430783391</v>
      </c>
      <c r="I150" s="94">
        <v>2.788661031623121</v>
      </c>
      <c r="J150" s="94">
        <v>2.8614736330863946</v>
      </c>
      <c r="K150" s="94">
        <v>2.9333734882474487</v>
      </c>
      <c r="L150" s="94">
        <v>2.996636440023769</v>
      </c>
      <c r="M150" s="94">
        <v>3.0104769256894683</v>
      </c>
      <c r="N150" s="94">
        <v>2.914136638901745</v>
      </c>
      <c r="O150" s="94">
        <v>2.608069817066309</v>
      </c>
      <c r="P150" s="94">
        <v>1.9775360145526264</v>
      </c>
      <c r="Q150" s="94">
        <v>1</v>
      </c>
      <c r="R150" s="94">
        <v>-4.825573063545145E-16</v>
      </c>
      <c r="S150" s="94">
        <v>0</v>
      </c>
      <c r="T150" s="94">
        <v>0</v>
      </c>
      <c r="U150" s="94">
        <v>0</v>
      </c>
      <c r="X150" s="96"/>
      <c r="Y150" s="96"/>
      <c r="Z150" s="96"/>
      <c r="AA150" s="96"/>
    </row>
    <row r="151" spans="1:27" ht="12.75">
      <c r="A151" s="95">
        <f t="shared" si="47"/>
        <v>17</v>
      </c>
      <c r="B151" s="94">
        <v>4.1677671741322495</v>
      </c>
      <c r="C151" s="94">
        <v>3.048763010965869</v>
      </c>
      <c r="D151" s="94">
        <v>2.7427763569527253</v>
      </c>
      <c r="E151" s="94">
        <v>2.6542499007302127</v>
      </c>
      <c r="F151" s="94">
        <v>2.635472926058746</v>
      </c>
      <c r="G151" s="94">
        <v>2.6491048131379826</v>
      </c>
      <c r="H151" s="94">
        <v>2.681782624967513</v>
      </c>
      <c r="I151" s="94">
        <v>2.7291204658401136</v>
      </c>
      <c r="J151" s="94">
        <v>2.7914318757263907</v>
      </c>
      <c r="K151" s="94">
        <v>2.860976925963063</v>
      </c>
      <c r="L151" s="94">
        <v>2.9372828650168663</v>
      </c>
      <c r="M151" s="94">
        <v>2.9997799359637467</v>
      </c>
      <c r="N151" s="94">
        <v>3.015077573779742</v>
      </c>
      <c r="O151" s="94">
        <v>2.9183838799606012</v>
      </c>
      <c r="P151" s="94">
        <v>2.6101972538602554</v>
      </c>
      <c r="Q151" s="94">
        <v>1.9812965013204746</v>
      </c>
      <c r="R151" s="94">
        <v>0.9999999999999996</v>
      </c>
      <c r="S151" s="94">
        <v>0</v>
      </c>
      <c r="T151" s="94">
        <v>0</v>
      </c>
      <c r="U151" s="94">
        <v>0</v>
      </c>
      <c r="X151" s="96"/>
      <c r="Y151" s="96"/>
      <c r="Z151" s="96"/>
      <c r="AA151" s="96"/>
    </row>
    <row r="152" spans="1:27" ht="12.75">
      <c r="A152" s="95">
        <f t="shared" si="47"/>
        <v>18</v>
      </c>
      <c r="B152" s="94">
        <v>3.507157145862238</v>
      </c>
      <c r="C152" s="94">
        <v>2.761600179951523</v>
      </c>
      <c r="D152" s="94">
        <v>2.5400940266970986</v>
      </c>
      <c r="E152" s="94">
        <v>2.474589248148627</v>
      </c>
      <c r="F152" s="94">
        <v>2.460871337301089</v>
      </c>
      <c r="G152" s="94">
        <v>2.471652099306575</v>
      </c>
      <c r="H152" s="94">
        <v>2.497139435517285</v>
      </c>
      <c r="I152" s="94">
        <v>2.534644619198567</v>
      </c>
      <c r="J152" s="94">
        <v>2.5849475654664995</v>
      </c>
      <c r="K152" s="94">
        <v>2.644220924423629</v>
      </c>
      <c r="L152" s="94">
        <v>2.7146864413617995</v>
      </c>
      <c r="M152" s="94">
        <v>2.7859905931161526</v>
      </c>
      <c r="N152" s="94">
        <v>2.8403762750546546</v>
      </c>
      <c r="O152" s="94">
        <v>2.8386550880598342</v>
      </c>
      <c r="P152" s="94">
        <v>2.7127631808230737</v>
      </c>
      <c r="Q152" s="94">
        <v>2.3661592083746035</v>
      </c>
      <c r="R152" s="94">
        <v>1.6942110184813555</v>
      </c>
      <c r="S152" s="94">
        <v>1</v>
      </c>
      <c r="T152" s="94">
        <v>0</v>
      </c>
      <c r="U152" s="94">
        <v>0</v>
      </c>
      <c r="X152" s="96"/>
      <c r="Y152" s="96"/>
      <c r="Z152" s="96"/>
      <c r="AA152" s="96"/>
    </row>
    <row r="153" spans="1:27" ht="12.75">
      <c r="A153" s="95">
        <f t="shared" si="47"/>
        <v>19</v>
      </c>
      <c r="B153" s="94">
        <v>4.781984865874111</v>
      </c>
      <c r="C153" s="94">
        <v>3.9113853595633</v>
      </c>
      <c r="D153" s="94">
        <v>3.641304075062555</v>
      </c>
      <c r="E153" s="94">
        <v>3.560466757566952</v>
      </c>
      <c r="F153" s="94">
        <v>3.5436444439824957</v>
      </c>
      <c r="G153" s="94">
        <v>3.5573982082716564</v>
      </c>
      <c r="H153" s="94">
        <v>3.589708307646961</v>
      </c>
      <c r="I153" s="94">
        <v>3.637634824920911</v>
      </c>
      <c r="J153" s="94">
        <v>3.702524049732172</v>
      </c>
      <c r="K153" s="94">
        <v>3.7809980349672214</v>
      </c>
      <c r="L153" s="94">
        <v>3.877679013740731</v>
      </c>
      <c r="M153" s="94">
        <v>3.9834924428432164</v>
      </c>
      <c r="N153" s="94">
        <v>4.082222650985341</v>
      </c>
      <c r="O153" s="94">
        <v>4.133856385483446</v>
      </c>
      <c r="P153" s="94">
        <v>4.063896068696195</v>
      </c>
      <c r="Q153" s="94">
        <v>3.7547912002049966</v>
      </c>
      <c r="R153" s="94">
        <v>3.0460876462970448</v>
      </c>
      <c r="S153" s="94">
        <v>2.309466123596454</v>
      </c>
      <c r="T153" s="94">
        <v>1</v>
      </c>
      <c r="U153" s="94">
        <v>0</v>
      </c>
      <c r="X153" s="96"/>
      <c r="Y153" s="96"/>
      <c r="Z153" s="96"/>
      <c r="AA153" s="96"/>
    </row>
    <row r="154" spans="1:27" ht="12.75">
      <c r="A154" s="95">
        <f t="shared" si="47"/>
        <v>20</v>
      </c>
      <c r="B154" s="94">
        <v>1.0000000000000653</v>
      </c>
      <c r="C154" s="94">
        <v>0.9999999999998901</v>
      </c>
      <c r="D154" s="94">
        <v>1.0000000000000249</v>
      </c>
      <c r="E154" s="94">
        <v>0.9999999999999959</v>
      </c>
      <c r="F154" s="94">
        <v>1.0000000000000018</v>
      </c>
      <c r="G154" s="94">
        <v>1.0000000000000016</v>
      </c>
      <c r="H154" s="94">
        <v>1.0000000000000013</v>
      </c>
      <c r="I154" s="94">
        <v>1.000000000000001</v>
      </c>
      <c r="J154" s="94">
        <v>1.0000000000000007</v>
      </c>
      <c r="K154" s="94">
        <v>1.0000000000000007</v>
      </c>
      <c r="L154" s="94">
        <v>1.0000000000000004</v>
      </c>
      <c r="M154" s="94">
        <v>1.0000000000000002</v>
      </c>
      <c r="N154" s="94">
        <v>1.0000000000000002</v>
      </c>
      <c r="O154" s="94">
        <v>0.9999999999999996</v>
      </c>
      <c r="P154" s="94">
        <v>0.9999999999999998</v>
      </c>
      <c r="Q154" s="94">
        <v>1</v>
      </c>
      <c r="R154" s="94">
        <v>1</v>
      </c>
      <c r="S154" s="94">
        <v>0.9999999999999999</v>
      </c>
      <c r="T154" s="94">
        <v>1</v>
      </c>
      <c r="U154" s="94">
        <v>1</v>
      </c>
      <c r="X154" s="96"/>
      <c r="Y154" s="96"/>
      <c r="Z154" s="96"/>
      <c r="AA154" s="96"/>
    </row>
    <row r="168" ht="12.75">
      <c r="B168" s="94" t="s">
        <v>12</v>
      </c>
    </row>
    <row r="169" spans="2:21" ht="12.75">
      <c r="B169" s="95">
        <v>1</v>
      </c>
      <c r="C169" s="95">
        <f aca="true" t="shared" si="48" ref="C169:U169">B169+1</f>
        <v>2</v>
      </c>
      <c r="D169" s="95">
        <f t="shared" si="48"/>
        <v>3</v>
      </c>
      <c r="E169" s="95">
        <f t="shared" si="48"/>
        <v>4</v>
      </c>
      <c r="F169" s="95">
        <f t="shared" si="48"/>
        <v>5</v>
      </c>
      <c r="G169" s="95">
        <f t="shared" si="48"/>
        <v>6</v>
      </c>
      <c r="H169" s="95">
        <f t="shared" si="48"/>
        <v>7</v>
      </c>
      <c r="I169" s="95">
        <f t="shared" si="48"/>
        <v>8</v>
      </c>
      <c r="J169" s="95">
        <f t="shared" si="48"/>
        <v>9</v>
      </c>
      <c r="K169" s="95">
        <f t="shared" si="48"/>
        <v>10</v>
      </c>
      <c r="L169" s="95">
        <f t="shared" si="48"/>
        <v>11</v>
      </c>
      <c r="M169" s="95">
        <f t="shared" si="48"/>
        <v>12</v>
      </c>
      <c r="N169" s="95">
        <f t="shared" si="48"/>
        <v>13</v>
      </c>
      <c r="O169" s="95">
        <f t="shared" si="48"/>
        <v>14</v>
      </c>
      <c r="P169" s="95">
        <f t="shared" si="48"/>
        <v>15</v>
      </c>
      <c r="Q169" s="95">
        <f t="shared" si="48"/>
        <v>16</v>
      </c>
      <c r="R169" s="95">
        <f t="shared" si="48"/>
        <v>17</v>
      </c>
      <c r="S169" s="95">
        <f t="shared" si="48"/>
        <v>18</v>
      </c>
      <c r="T169" s="95">
        <f t="shared" si="48"/>
        <v>19</v>
      </c>
      <c r="U169" s="95">
        <f t="shared" si="48"/>
        <v>20</v>
      </c>
    </row>
    <row r="170" spans="1:21" ht="12.75">
      <c r="A170" s="95">
        <v>1</v>
      </c>
      <c r="B170" s="94">
        <f>Model!B45</f>
        <v>0.7685062710366639</v>
      </c>
      <c r="C170" s="94">
        <f>Model!C45</f>
        <v>0</v>
      </c>
      <c r="D170" s="94">
        <f>Model!D45</f>
        <v>0</v>
      </c>
      <c r="E170" s="94">
        <f>Model!E45</f>
        <v>0</v>
      </c>
      <c r="F170" s="94">
        <f>Model!F45</f>
        <v>0</v>
      </c>
      <c r="G170" s="94">
        <f>Model!G45</f>
        <v>0</v>
      </c>
      <c r="H170" s="94">
        <f>Model!H45</f>
        <v>0</v>
      </c>
      <c r="I170" s="94">
        <f>Model!I45</f>
        <v>0</v>
      </c>
      <c r="J170" s="94">
        <f>Model!J45</f>
        <v>0</v>
      </c>
      <c r="K170" s="94">
        <f>Model!K45</f>
        <v>0</v>
      </c>
      <c r="L170" s="94">
        <f>Model!L45</f>
        <v>0</v>
      </c>
      <c r="M170" s="94">
        <f>Model!M45</f>
        <v>0</v>
      </c>
      <c r="N170" s="94">
        <f>Model!N45</f>
        <v>0</v>
      </c>
      <c r="O170" s="94">
        <f>Model!O45</f>
        <v>0</v>
      </c>
      <c r="P170" s="94">
        <f>Model!P45</f>
        <v>0</v>
      </c>
      <c r="Q170" s="94">
        <f>Model!Q45</f>
        <v>0</v>
      </c>
      <c r="R170" s="94">
        <f>Model!R45</f>
        <v>0</v>
      </c>
      <c r="S170" s="94">
        <f>Model!S45</f>
        <v>0</v>
      </c>
      <c r="T170" s="94">
        <f>Model!T45</f>
        <v>0</v>
      </c>
      <c r="U170" s="94">
        <f>Model!U45</f>
        <v>0</v>
      </c>
    </row>
    <row r="171" spans="1:21" ht="12.75">
      <c r="A171" s="95">
        <f aca="true" t="shared" si="49" ref="A171:A189">A170+1</f>
        <v>2</v>
      </c>
      <c r="B171" s="94">
        <f>Model!B46</f>
        <v>0</v>
      </c>
      <c r="C171" s="94">
        <f>Model!C46</f>
        <v>0.5560489200638892</v>
      </c>
      <c r="D171" s="94">
        <f>Model!D46</f>
        <v>0</v>
      </c>
      <c r="E171" s="94">
        <f>Model!E46</f>
        <v>0</v>
      </c>
      <c r="F171" s="94">
        <f>Model!F46</f>
        <v>0</v>
      </c>
      <c r="G171" s="94">
        <f>Model!G46</f>
        <v>0</v>
      </c>
      <c r="H171" s="94">
        <f>Model!H46</f>
        <v>0</v>
      </c>
      <c r="I171" s="94">
        <f>Model!I46</f>
        <v>0</v>
      </c>
      <c r="J171" s="94">
        <f>Model!J46</f>
        <v>0</v>
      </c>
      <c r="K171" s="94">
        <f>Model!K46</f>
        <v>0</v>
      </c>
      <c r="L171" s="94">
        <f>Model!L46</f>
        <v>0</v>
      </c>
      <c r="M171" s="94">
        <f>Model!M46</f>
        <v>0</v>
      </c>
      <c r="N171" s="94">
        <f>Model!N46</f>
        <v>0</v>
      </c>
      <c r="O171" s="94">
        <f>Model!O46</f>
        <v>0</v>
      </c>
      <c r="P171" s="94">
        <f>Model!P46</f>
        <v>0</v>
      </c>
      <c r="Q171" s="94">
        <f>Model!Q46</f>
        <v>0</v>
      </c>
      <c r="R171" s="94">
        <f>Model!R46</f>
        <v>0</v>
      </c>
      <c r="S171" s="94">
        <f>Model!S46</f>
        <v>0</v>
      </c>
      <c r="T171" s="94">
        <f>Model!T46</f>
        <v>0</v>
      </c>
      <c r="U171" s="94">
        <f>Model!U46</f>
        <v>0</v>
      </c>
    </row>
    <row r="172" spans="1:21" ht="12.75">
      <c r="A172" s="95">
        <f t="shared" si="49"/>
        <v>3</v>
      </c>
      <c r="B172" s="94">
        <f>Model!B47</f>
        <v>0</v>
      </c>
      <c r="C172" s="94">
        <f>Model!C47</f>
        <v>0</v>
      </c>
      <c r="D172" s="94">
        <f>Model!D47</f>
        <v>0.338463626024461</v>
      </c>
      <c r="E172" s="94">
        <f>Model!E47</f>
        <v>0</v>
      </c>
      <c r="F172" s="94">
        <f>Model!F47</f>
        <v>0</v>
      </c>
      <c r="G172" s="94">
        <f>Model!G47</f>
        <v>0</v>
      </c>
      <c r="H172" s="94">
        <f>Model!H47</f>
        <v>0</v>
      </c>
      <c r="I172" s="94">
        <f>Model!I47</f>
        <v>0</v>
      </c>
      <c r="J172" s="94">
        <f>Model!J47</f>
        <v>0</v>
      </c>
      <c r="K172" s="94">
        <f>Model!K47</f>
        <v>0</v>
      </c>
      <c r="L172" s="94">
        <f>Model!L47</f>
        <v>0</v>
      </c>
      <c r="M172" s="94">
        <f>Model!M47</f>
        <v>0</v>
      </c>
      <c r="N172" s="94">
        <f>Model!N47</f>
        <v>0</v>
      </c>
      <c r="O172" s="94">
        <f>Model!O47</f>
        <v>0</v>
      </c>
      <c r="P172" s="94">
        <f>Model!P47</f>
        <v>0</v>
      </c>
      <c r="Q172" s="94">
        <f>Model!Q47</f>
        <v>0</v>
      </c>
      <c r="R172" s="94">
        <f>Model!R47</f>
        <v>0</v>
      </c>
      <c r="S172" s="94">
        <f>Model!S47</f>
        <v>0</v>
      </c>
      <c r="T172" s="94">
        <f>Model!T47</f>
        <v>0</v>
      </c>
      <c r="U172" s="94">
        <f>Model!U47</f>
        <v>0</v>
      </c>
    </row>
    <row r="173" spans="1:21" ht="12.75">
      <c r="A173" s="95">
        <f t="shared" si="49"/>
        <v>4</v>
      </c>
      <c r="B173" s="94">
        <f>Model!B48</f>
        <v>0</v>
      </c>
      <c r="C173" s="94">
        <f>Model!C48</f>
        <v>0</v>
      </c>
      <c r="D173" s="94">
        <f>Model!D48</f>
        <v>0</v>
      </c>
      <c r="E173" s="94">
        <f>Model!E48</f>
        <v>0.2230428291573375</v>
      </c>
      <c r="F173" s="94">
        <f>Model!F48</f>
        <v>0</v>
      </c>
      <c r="G173" s="94">
        <f>Model!G48</f>
        <v>0</v>
      </c>
      <c r="H173" s="94">
        <f>Model!H48</f>
        <v>0</v>
      </c>
      <c r="I173" s="94">
        <f>Model!I48</f>
        <v>0</v>
      </c>
      <c r="J173" s="94">
        <f>Model!J48</f>
        <v>0</v>
      </c>
      <c r="K173" s="94">
        <f>Model!K48</f>
        <v>0</v>
      </c>
      <c r="L173" s="94">
        <f>Model!L48</f>
        <v>0</v>
      </c>
      <c r="M173" s="94">
        <f>Model!M48</f>
        <v>0</v>
      </c>
      <c r="N173" s="94">
        <f>Model!N48</f>
        <v>0</v>
      </c>
      <c r="O173" s="94">
        <f>Model!O48</f>
        <v>0</v>
      </c>
      <c r="P173" s="94">
        <f>Model!P48</f>
        <v>0</v>
      </c>
      <c r="Q173" s="94">
        <f>Model!Q48</f>
        <v>0</v>
      </c>
      <c r="R173" s="94">
        <f>Model!R48</f>
        <v>0</v>
      </c>
      <c r="S173" s="94">
        <f>Model!S48</f>
        <v>0</v>
      </c>
      <c r="T173" s="94">
        <f>Model!T48</f>
        <v>0</v>
      </c>
      <c r="U173" s="94">
        <f>Model!U48</f>
        <v>0</v>
      </c>
    </row>
    <row r="174" spans="1:21" ht="12.75">
      <c r="A174" s="95">
        <f t="shared" si="49"/>
        <v>5</v>
      </c>
      <c r="B174" s="94">
        <f>Model!B49</f>
        <v>0</v>
      </c>
      <c r="C174" s="94">
        <f>Model!C49</f>
        <v>0</v>
      </c>
      <c r="D174" s="94">
        <f>Model!D49</f>
        <v>0</v>
      </c>
      <c r="E174" s="94">
        <f>Model!E49</f>
        <v>0</v>
      </c>
      <c r="F174" s="94">
        <f>Model!F49</f>
        <v>0.2057802144726573</v>
      </c>
      <c r="G174" s="94">
        <f>Model!G49</f>
        <v>0</v>
      </c>
      <c r="H174" s="94">
        <f>Model!H49</f>
        <v>0</v>
      </c>
      <c r="I174" s="94">
        <f>Model!I49</f>
        <v>0</v>
      </c>
      <c r="J174" s="94">
        <f>Model!J49</f>
        <v>0</v>
      </c>
      <c r="K174" s="94">
        <f>Model!K49</f>
        <v>0</v>
      </c>
      <c r="L174" s="94">
        <f>Model!L49</f>
        <v>0</v>
      </c>
      <c r="M174" s="94">
        <f>Model!M49</f>
        <v>0</v>
      </c>
      <c r="N174" s="94">
        <f>Model!N49</f>
        <v>0</v>
      </c>
      <c r="O174" s="94">
        <f>Model!O49</f>
        <v>0</v>
      </c>
      <c r="P174" s="94">
        <f>Model!P49</f>
        <v>0</v>
      </c>
      <c r="Q174" s="94">
        <f>Model!Q49</f>
        <v>0</v>
      </c>
      <c r="R174" s="94">
        <f>Model!R49</f>
        <v>0</v>
      </c>
      <c r="S174" s="94">
        <f>Model!S49</f>
        <v>0</v>
      </c>
      <c r="T174" s="94">
        <f>Model!T49</f>
        <v>0</v>
      </c>
      <c r="U174" s="94">
        <f>Model!U49</f>
        <v>0</v>
      </c>
    </row>
    <row r="175" spans="1:21" ht="12.75">
      <c r="A175" s="95">
        <f t="shared" si="49"/>
        <v>6</v>
      </c>
      <c r="B175" s="94">
        <f>Model!B50</f>
        <v>0</v>
      </c>
      <c r="C175" s="94">
        <f>Model!C50</f>
        <v>0</v>
      </c>
      <c r="D175" s="94">
        <f>Model!D50</f>
        <v>0</v>
      </c>
      <c r="E175" s="94">
        <f>Model!E50</f>
        <v>0</v>
      </c>
      <c r="F175" s="94">
        <f>Model!F50</f>
        <v>0</v>
      </c>
      <c r="G175" s="94">
        <f>Model!G50</f>
        <v>0.24280546378408463</v>
      </c>
      <c r="H175" s="94">
        <f>Model!H50</f>
        <v>0</v>
      </c>
      <c r="I175" s="94">
        <f>Model!I50</f>
        <v>0</v>
      </c>
      <c r="J175" s="94">
        <f>Model!J50</f>
        <v>0</v>
      </c>
      <c r="K175" s="94">
        <f>Model!K50</f>
        <v>0</v>
      </c>
      <c r="L175" s="94">
        <f>Model!L50</f>
        <v>0</v>
      </c>
      <c r="M175" s="94">
        <f>Model!M50</f>
        <v>0</v>
      </c>
      <c r="N175" s="94">
        <f>Model!N50</f>
        <v>0</v>
      </c>
      <c r="O175" s="94">
        <f>Model!O50</f>
        <v>0</v>
      </c>
      <c r="P175" s="94">
        <f>Model!P50</f>
        <v>0</v>
      </c>
      <c r="Q175" s="94">
        <f>Model!Q50</f>
        <v>0</v>
      </c>
      <c r="R175" s="94">
        <f>Model!R50</f>
        <v>0</v>
      </c>
      <c r="S175" s="94">
        <f>Model!S50</f>
        <v>0</v>
      </c>
      <c r="T175" s="94">
        <f>Model!T50</f>
        <v>0</v>
      </c>
      <c r="U175" s="94">
        <f>Model!U50</f>
        <v>0</v>
      </c>
    </row>
    <row r="176" spans="1:21" ht="12.75">
      <c r="A176" s="95">
        <f t="shared" si="49"/>
        <v>7</v>
      </c>
      <c r="B176" s="94">
        <f>Model!B51</f>
        <v>0</v>
      </c>
      <c r="C176" s="94">
        <f>Model!C51</f>
        <v>0</v>
      </c>
      <c r="D176" s="94">
        <f>Model!D51</f>
        <v>0</v>
      </c>
      <c r="E176" s="94">
        <f>Model!E51</f>
        <v>0</v>
      </c>
      <c r="F176" s="94">
        <f>Model!F51</f>
        <v>0</v>
      </c>
      <c r="G176" s="94">
        <f>Model!G51</f>
        <v>0</v>
      </c>
      <c r="H176" s="94">
        <f>Model!H51</f>
        <v>0.30826803773103656</v>
      </c>
      <c r="I176" s="94">
        <f>Model!I51</f>
        <v>0</v>
      </c>
      <c r="J176" s="94">
        <f>Model!J51</f>
        <v>0</v>
      </c>
      <c r="K176" s="94">
        <f>Model!K51</f>
        <v>0</v>
      </c>
      <c r="L176" s="94">
        <f>Model!L51</f>
        <v>0</v>
      </c>
      <c r="M176" s="94">
        <f>Model!M51</f>
        <v>0</v>
      </c>
      <c r="N176" s="94">
        <f>Model!N51</f>
        <v>0</v>
      </c>
      <c r="O176" s="94">
        <f>Model!O51</f>
        <v>0</v>
      </c>
      <c r="P176" s="94">
        <f>Model!P51</f>
        <v>0</v>
      </c>
      <c r="Q176" s="94">
        <f>Model!Q51</f>
        <v>0</v>
      </c>
      <c r="R176" s="94">
        <f>Model!R51</f>
        <v>0</v>
      </c>
      <c r="S176" s="94">
        <f>Model!S51</f>
        <v>0</v>
      </c>
      <c r="T176" s="94">
        <f>Model!T51</f>
        <v>0</v>
      </c>
      <c r="U176" s="94">
        <f>Model!U51</f>
        <v>0</v>
      </c>
    </row>
    <row r="177" spans="1:21" ht="12.75">
      <c r="A177" s="95">
        <f t="shared" si="49"/>
        <v>8</v>
      </c>
      <c r="B177" s="94">
        <f>Model!B52</f>
        <v>0</v>
      </c>
      <c r="C177" s="94">
        <f>Model!C52</f>
        <v>0</v>
      </c>
      <c r="D177" s="94">
        <f>Model!D52</f>
        <v>0</v>
      </c>
      <c r="E177" s="94">
        <f>Model!E52</f>
        <v>0</v>
      </c>
      <c r="F177" s="94">
        <f>Model!F52</f>
        <v>0</v>
      </c>
      <c r="G177" s="94">
        <f>Model!G52</f>
        <v>0</v>
      </c>
      <c r="H177" s="94">
        <f>Model!H52</f>
        <v>0</v>
      </c>
      <c r="I177" s="94">
        <f>Model!I52</f>
        <v>0.38969860657061395</v>
      </c>
      <c r="J177" s="94">
        <f>Model!J52</f>
        <v>0</v>
      </c>
      <c r="K177" s="94">
        <f>Model!K52</f>
        <v>0</v>
      </c>
      <c r="L177" s="94">
        <f>Model!L52</f>
        <v>0</v>
      </c>
      <c r="M177" s="94">
        <f>Model!M52</f>
        <v>0</v>
      </c>
      <c r="N177" s="94">
        <f>Model!N52</f>
        <v>0</v>
      </c>
      <c r="O177" s="94">
        <f>Model!O52</f>
        <v>0</v>
      </c>
      <c r="P177" s="94">
        <f>Model!P52</f>
        <v>0</v>
      </c>
      <c r="Q177" s="94">
        <f>Model!Q52</f>
        <v>0</v>
      </c>
      <c r="R177" s="94">
        <f>Model!R52</f>
        <v>0</v>
      </c>
      <c r="S177" s="94">
        <f>Model!S52</f>
        <v>0</v>
      </c>
      <c r="T177" s="94">
        <f>Model!T52</f>
        <v>0</v>
      </c>
      <c r="U177" s="94">
        <f>Model!U52</f>
        <v>0</v>
      </c>
    </row>
    <row r="178" spans="1:21" ht="12.75">
      <c r="A178" s="95">
        <f t="shared" si="49"/>
        <v>9</v>
      </c>
      <c r="B178" s="94">
        <f>Model!B53</f>
        <v>0</v>
      </c>
      <c r="C178" s="94">
        <f>Model!C53</f>
        <v>0</v>
      </c>
      <c r="D178" s="94">
        <f>Model!D53</f>
        <v>0</v>
      </c>
      <c r="E178" s="94">
        <f>Model!E53</f>
        <v>0</v>
      </c>
      <c r="F178" s="94">
        <f>Model!F53</f>
        <v>0</v>
      </c>
      <c r="G178" s="94">
        <f>Model!G53</f>
        <v>0</v>
      </c>
      <c r="H178" s="94">
        <f>Model!H53</f>
        <v>0</v>
      </c>
      <c r="I178" s="94">
        <f>Model!I53</f>
        <v>0</v>
      </c>
      <c r="J178" s="94">
        <f>Model!J53</f>
        <v>0.4759356811795449</v>
      </c>
      <c r="K178" s="94">
        <f>Model!K53</f>
        <v>0</v>
      </c>
      <c r="L178" s="94">
        <f>Model!L53</f>
        <v>0</v>
      </c>
      <c r="M178" s="94">
        <f>Model!M53</f>
        <v>0</v>
      </c>
      <c r="N178" s="94">
        <f>Model!N53</f>
        <v>0</v>
      </c>
      <c r="O178" s="94">
        <f>Model!O53</f>
        <v>0</v>
      </c>
      <c r="P178" s="94">
        <f>Model!P53</f>
        <v>0</v>
      </c>
      <c r="Q178" s="94">
        <f>Model!Q53</f>
        <v>0</v>
      </c>
      <c r="R178" s="94">
        <f>Model!R53</f>
        <v>0</v>
      </c>
      <c r="S178" s="94">
        <f>Model!S53</f>
        <v>0</v>
      </c>
      <c r="T178" s="94">
        <f>Model!T53</f>
        <v>0</v>
      </c>
      <c r="U178" s="94">
        <f>Model!U53</f>
        <v>0</v>
      </c>
    </row>
    <row r="179" spans="1:21" ht="12.75">
      <c r="A179" s="95">
        <f t="shared" si="49"/>
        <v>10</v>
      </c>
      <c r="B179" s="94">
        <f>Model!B54</f>
        <v>0</v>
      </c>
      <c r="C179" s="94">
        <f>Model!C54</f>
        <v>0</v>
      </c>
      <c r="D179" s="94">
        <f>Model!D54</f>
        <v>0</v>
      </c>
      <c r="E179" s="94">
        <f>Model!E54</f>
        <v>0</v>
      </c>
      <c r="F179" s="94">
        <f>Model!F54</f>
        <v>0</v>
      </c>
      <c r="G179" s="94">
        <f>Model!G54</f>
        <v>0</v>
      </c>
      <c r="H179" s="94">
        <f>Model!H54</f>
        <v>0</v>
      </c>
      <c r="I179" s="94">
        <f>Model!I54</f>
        <v>0</v>
      </c>
      <c r="J179" s="94">
        <f>Model!J54</f>
        <v>0</v>
      </c>
      <c r="K179" s="94">
        <f>Model!K54</f>
        <v>0.5582643926031201</v>
      </c>
      <c r="L179" s="94">
        <f>Model!L54</f>
        <v>0</v>
      </c>
      <c r="M179" s="94">
        <f>Model!M54</f>
        <v>0</v>
      </c>
      <c r="N179" s="94">
        <f>Model!N54</f>
        <v>0</v>
      </c>
      <c r="O179" s="94">
        <f>Model!O54</f>
        <v>0</v>
      </c>
      <c r="P179" s="94">
        <f>Model!P54</f>
        <v>0</v>
      </c>
      <c r="Q179" s="94">
        <f>Model!Q54</f>
        <v>0</v>
      </c>
      <c r="R179" s="94">
        <f>Model!R54</f>
        <v>0</v>
      </c>
      <c r="S179" s="94">
        <f>Model!S54</f>
        <v>0</v>
      </c>
      <c r="T179" s="94">
        <f>Model!T54</f>
        <v>0</v>
      </c>
      <c r="U179" s="94">
        <f>Model!U54</f>
        <v>0</v>
      </c>
    </row>
    <row r="180" spans="1:21" ht="12.75">
      <c r="A180" s="95">
        <f t="shared" si="49"/>
        <v>11</v>
      </c>
      <c r="B180" s="94">
        <f>Model!B55</f>
        <v>0</v>
      </c>
      <c r="C180" s="94">
        <f>Model!C55</f>
        <v>0</v>
      </c>
      <c r="D180" s="94">
        <f>Model!D55</f>
        <v>0</v>
      </c>
      <c r="E180" s="94">
        <f>Model!E55</f>
        <v>0</v>
      </c>
      <c r="F180" s="94">
        <f>Model!F55</f>
        <v>0</v>
      </c>
      <c r="G180" s="94">
        <f>Model!G55</f>
        <v>0</v>
      </c>
      <c r="H180" s="94">
        <f>Model!H55</f>
        <v>0</v>
      </c>
      <c r="I180" s="94">
        <f>Model!I55</f>
        <v>0</v>
      </c>
      <c r="J180" s="94">
        <f>Model!J55</f>
        <v>0</v>
      </c>
      <c r="K180" s="94">
        <f>Model!K55</f>
        <v>0</v>
      </c>
      <c r="L180" s="94">
        <f>Model!L55</f>
        <v>0.6364135594880842</v>
      </c>
      <c r="M180" s="94">
        <f>Model!M55</f>
        <v>0</v>
      </c>
      <c r="N180" s="94">
        <f>Model!N55</f>
        <v>0</v>
      </c>
      <c r="O180" s="94">
        <f>Model!O55</f>
        <v>0</v>
      </c>
      <c r="P180" s="94">
        <f>Model!P55</f>
        <v>0</v>
      </c>
      <c r="Q180" s="94">
        <f>Model!Q55</f>
        <v>0</v>
      </c>
      <c r="R180" s="94">
        <f>Model!R55</f>
        <v>0</v>
      </c>
      <c r="S180" s="94">
        <f>Model!S55</f>
        <v>0</v>
      </c>
      <c r="T180" s="94">
        <f>Model!T55</f>
        <v>0</v>
      </c>
      <c r="U180" s="94">
        <f>Model!U55</f>
        <v>0</v>
      </c>
    </row>
    <row r="181" spans="1:21" ht="12.75">
      <c r="A181" s="95">
        <f t="shared" si="49"/>
        <v>12</v>
      </c>
      <c r="B181" s="94">
        <f>Model!B56</f>
        <v>0</v>
      </c>
      <c r="C181" s="94">
        <f>Model!C56</f>
        <v>0</v>
      </c>
      <c r="D181" s="94">
        <f>Model!D56</f>
        <v>0</v>
      </c>
      <c r="E181" s="94">
        <f>Model!E56</f>
        <v>0</v>
      </c>
      <c r="F181" s="94">
        <f>Model!F56</f>
        <v>0</v>
      </c>
      <c r="G181" s="94">
        <f>Model!G56</f>
        <v>0</v>
      </c>
      <c r="H181" s="94">
        <f>Model!H56</f>
        <v>0</v>
      </c>
      <c r="I181" s="94">
        <f>Model!I56</f>
        <v>0</v>
      </c>
      <c r="J181" s="94">
        <f>Model!J56</f>
        <v>0</v>
      </c>
      <c r="K181" s="94">
        <f>Model!K56</f>
        <v>0</v>
      </c>
      <c r="L181" s="94">
        <f>Model!L56</f>
        <v>0</v>
      </c>
      <c r="M181" s="94">
        <f>Model!M56</f>
        <v>0.7057043449765488</v>
      </c>
      <c r="N181" s="94">
        <f>Model!N56</f>
        <v>0</v>
      </c>
      <c r="O181" s="94">
        <f>Model!O56</f>
        <v>0</v>
      </c>
      <c r="P181" s="94">
        <f>Model!P56</f>
        <v>0</v>
      </c>
      <c r="Q181" s="94">
        <f>Model!Q56</f>
        <v>0</v>
      </c>
      <c r="R181" s="94">
        <f>Model!R56</f>
        <v>0</v>
      </c>
      <c r="S181" s="94">
        <f>Model!S56</f>
        <v>0</v>
      </c>
      <c r="T181" s="94">
        <f>Model!T56</f>
        <v>0</v>
      </c>
      <c r="U181" s="94">
        <f>Model!U56</f>
        <v>0</v>
      </c>
    </row>
    <row r="182" spans="1:21" ht="12.75">
      <c r="A182" s="95">
        <f t="shared" si="49"/>
        <v>13</v>
      </c>
      <c r="B182" s="94">
        <f>Model!B57</f>
        <v>0</v>
      </c>
      <c r="C182" s="94">
        <f>Model!C57</f>
        <v>0</v>
      </c>
      <c r="D182" s="94">
        <f>Model!D57</f>
        <v>0</v>
      </c>
      <c r="E182" s="94">
        <f>Model!E57</f>
        <v>0</v>
      </c>
      <c r="F182" s="94">
        <f>Model!F57</f>
        <v>0</v>
      </c>
      <c r="G182" s="94">
        <f>Model!G57</f>
        <v>0</v>
      </c>
      <c r="H182" s="94">
        <f>Model!H57</f>
        <v>0</v>
      </c>
      <c r="I182" s="94">
        <f>Model!I57</f>
        <v>0</v>
      </c>
      <c r="J182" s="94">
        <f>Model!J57</f>
        <v>0</v>
      </c>
      <c r="K182" s="94">
        <f>Model!K57</f>
        <v>0</v>
      </c>
      <c r="L182" s="94">
        <f>Model!L57</f>
        <v>0</v>
      </c>
      <c r="M182" s="94">
        <f>Model!M57</f>
        <v>0</v>
      </c>
      <c r="N182" s="94">
        <f>Model!N57</f>
        <v>0.7652591315156225</v>
      </c>
      <c r="O182" s="94">
        <f>Model!O57</f>
        <v>0</v>
      </c>
      <c r="P182" s="94">
        <f>Model!P57</f>
        <v>0</v>
      </c>
      <c r="Q182" s="94">
        <f>Model!Q57</f>
        <v>0</v>
      </c>
      <c r="R182" s="94">
        <f>Model!R57</f>
        <v>0</v>
      </c>
      <c r="S182" s="94">
        <f>Model!S57</f>
        <v>0</v>
      </c>
      <c r="T182" s="94">
        <f>Model!T57</f>
        <v>0</v>
      </c>
      <c r="U182" s="94">
        <f>Model!U57</f>
        <v>0</v>
      </c>
    </row>
    <row r="183" spans="1:21" ht="12.75">
      <c r="A183" s="95">
        <f t="shared" si="49"/>
        <v>14</v>
      </c>
      <c r="B183" s="94">
        <f>Model!B58</f>
        <v>0</v>
      </c>
      <c r="C183" s="94">
        <f>Model!C58</f>
        <v>0</v>
      </c>
      <c r="D183" s="94">
        <f>Model!D58</f>
        <v>0</v>
      </c>
      <c r="E183" s="94">
        <f>Model!E58</f>
        <v>0</v>
      </c>
      <c r="F183" s="94">
        <f>Model!F58</f>
        <v>0</v>
      </c>
      <c r="G183" s="94">
        <f>Model!G58</f>
        <v>0</v>
      </c>
      <c r="H183" s="94">
        <f>Model!H58</f>
        <v>0</v>
      </c>
      <c r="I183" s="94">
        <f>Model!I58</f>
        <v>0</v>
      </c>
      <c r="J183" s="94">
        <f>Model!J58</f>
        <v>0</v>
      </c>
      <c r="K183" s="94">
        <f>Model!K58</f>
        <v>0</v>
      </c>
      <c r="L183" s="94">
        <f>Model!L58</f>
        <v>0</v>
      </c>
      <c r="M183" s="94">
        <f>Model!M58</f>
        <v>0</v>
      </c>
      <c r="N183" s="94">
        <f>Model!N58</f>
        <v>0</v>
      </c>
      <c r="O183" s="94">
        <f>Model!O58</f>
        <v>0.814728831776004</v>
      </c>
      <c r="P183" s="94">
        <f>Model!P58</f>
        <v>0</v>
      </c>
      <c r="Q183" s="94">
        <f>Model!Q58</f>
        <v>0</v>
      </c>
      <c r="R183" s="94">
        <f>Model!R58</f>
        <v>0</v>
      </c>
      <c r="S183" s="94">
        <f>Model!S58</f>
        <v>0</v>
      </c>
      <c r="T183" s="94">
        <f>Model!T58</f>
        <v>0</v>
      </c>
      <c r="U183" s="94">
        <f>Model!U58</f>
        <v>0</v>
      </c>
    </row>
    <row r="184" spans="1:21" ht="12.75">
      <c r="A184" s="95">
        <f t="shared" si="49"/>
        <v>15</v>
      </c>
      <c r="B184" s="94">
        <f>Model!B59</f>
        <v>0</v>
      </c>
      <c r="C184" s="94">
        <f>Model!C59</f>
        <v>0</v>
      </c>
      <c r="D184" s="94">
        <f>Model!D59</f>
        <v>0</v>
      </c>
      <c r="E184" s="94">
        <f>Model!E59</f>
        <v>0</v>
      </c>
      <c r="F184" s="94">
        <f>Model!F59</f>
        <v>0</v>
      </c>
      <c r="G184" s="94">
        <f>Model!G59</f>
        <v>0</v>
      </c>
      <c r="H184" s="94">
        <f>Model!H59</f>
        <v>0</v>
      </c>
      <c r="I184" s="94">
        <f>Model!I59</f>
        <v>0</v>
      </c>
      <c r="J184" s="94">
        <f>Model!J59</f>
        <v>0</v>
      </c>
      <c r="K184" s="94">
        <f>Model!K59</f>
        <v>0</v>
      </c>
      <c r="L184" s="94">
        <f>Model!L59</f>
        <v>0</v>
      </c>
      <c r="M184" s="94">
        <f>Model!M59</f>
        <v>0</v>
      </c>
      <c r="N184" s="94">
        <f>Model!N59</f>
        <v>0</v>
      </c>
      <c r="O184" s="94">
        <f>Model!O59</f>
        <v>0</v>
      </c>
      <c r="P184" s="94">
        <f>Model!P59</f>
        <v>0.8550927514825538</v>
      </c>
      <c r="Q184" s="94">
        <f>Model!Q59</f>
        <v>0</v>
      </c>
      <c r="R184" s="94">
        <f>Model!R59</f>
        <v>0</v>
      </c>
      <c r="S184" s="94">
        <f>Model!S59</f>
        <v>0</v>
      </c>
      <c r="T184" s="94">
        <f>Model!T59</f>
        <v>0</v>
      </c>
      <c r="U184" s="94">
        <f>Model!U59</f>
        <v>0</v>
      </c>
    </row>
    <row r="185" spans="1:21" ht="12.75">
      <c r="A185" s="95">
        <f t="shared" si="49"/>
        <v>16</v>
      </c>
      <c r="B185" s="94">
        <f>Model!B60</f>
        <v>0</v>
      </c>
      <c r="C185" s="94">
        <f>Model!C60</f>
        <v>0</v>
      </c>
      <c r="D185" s="94">
        <f>Model!D60</f>
        <v>0</v>
      </c>
      <c r="E185" s="94">
        <f>Model!E60</f>
        <v>0</v>
      </c>
      <c r="F185" s="94">
        <f>Model!F60</f>
        <v>0</v>
      </c>
      <c r="G185" s="94">
        <f>Model!G60</f>
        <v>0</v>
      </c>
      <c r="H185" s="94">
        <f>Model!H60</f>
        <v>0</v>
      </c>
      <c r="I185" s="94">
        <f>Model!I60</f>
        <v>0</v>
      </c>
      <c r="J185" s="94">
        <f>Model!J60</f>
        <v>0</v>
      </c>
      <c r="K185" s="94">
        <f>Model!K60</f>
        <v>0</v>
      </c>
      <c r="L185" s="94">
        <f>Model!L60</f>
        <v>0</v>
      </c>
      <c r="M185" s="94">
        <f>Model!M60</f>
        <v>0</v>
      </c>
      <c r="N185" s="94">
        <f>Model!N60</f>
        <v>0</v>
      </c>
      <c r="O185" s="94">
        <f>Model!O60</f>
        <v>0</v>
      </c>
      <c r="P185" s="94">
        <f>Model!P60</f>
        <v>0</v>
      </c>
      <c r="Q185" s="94">
        <f>Model!Q60</f>
        <v>0.8874734511366758</v>
      </c>
      <c r="R185" s="94">
        <f>Model!R60</f>
        <v>0</v>
      </c>
      <c r="S185" s="94">
        <f>Model!S60</f>
        <v>0</v>
      </c>
      <c r="T185" s="94">
        <f>Model!T60</f>
        <v>0</v>
      </c>
      <c r="U185" s="94">
        <f>Model!U60</f>
        <v>0</v>
      </c>
    </row>
    <row r="186" spans="1:21" ht="12.75">
      <c r="A186" s="95">
        <f t="shared" si="49"/>
        <v>17</v>
      </c>
      <c r="B186" s="94">
        <f>Model!B61</f>
        <v>0</v>
      </c>
      <c r="C186" s="94">
        <f>Model!C61</f>
        <v>0</v>
      </c>
      <c r="D186" s="94">
        <f>Model!D61</f>
        <v>0</v>
      </c>
      <c r="E186" s="94">
        <f>Model!E61</f>
        <v>0</v>
      </c>
      <c r="F186" s="94">
        <f>Model!F61</f>
        <v>0</v>
      </c>
      <c r="G186" s="94">
        <f>Model!G61</f>
        <v>0</v>
      </c>
      <c r="H186" s="94">
        <f>Model!H61</f>
        <v>0</v>
      </c>
      <c r="I186" s="94">
        <f>Model!I61</f>
        <v>0</v>
      </c>
      <c r="J186" s="94">
        <f>Model!J61</f>
        <v>0</v>
      </c>
      <c r="K186" s="94">
        <f>Model!K61</f>
        <v>0</v>
      </c>
      <c r="L186" s="94">
        <f>Model!L61</f>
        <v>0</v>
      </c>
      <c r="M186" s="94">
        <f>Model!M61</f>
        <v>0</v>
      </c>
      <c r="N186" s="94">
        <f>Model!N61</f>
        <v>0</v>
      </c>
      <c r="O186" s="94">
        <f>Model!O61</f>
        <v>0</v>
      </c>
      <c r="P186" s="94">
        <f>Model!P61</f>
        <v>0</v>
      </c>
      <c r="Q186" s="94">
        <f>Model!Q61</f>
        <v>0</v>
      </c>
      <c r="R186" s="94">
        <f>Model!R61</f>
        <v>0.9131087041905915</v>
      </c>
      <c r="S186" s="94">
        <f>Model!S61</f>
        <v>0</v>
      </c>
      <c r="T186" s="94">
        <f>Model!T61</f>
        <v>0</v>
      </c>
      <c r="U186" s="94">
        <f>Model!U61</f>
        <v>0</v>
      </c>
    </row>
    <row r="187" spans="1:21" ht="12.75">
      <c r="A187" s="95">
        <f t="shared" si="49"/>
        <v>18</v>
      </c>
      <c r="B187" s="94">
        <f>Model!B62</f>
        <v>0</v>
      </c>
      <c r="C187" s="94">
        <f>Model!C62</f>
        <v>0</v>
      </c>
      <c r="D187" s="94">
        <f>Model!D62</f>
        <v>0</v>
      </c>
      <c r="E187" s="94">
        <f>Model!E62</f>
        <v>0</v>
      </c>
      <c r="F187" s="94">
        <f>Model!F62</f>
        <v>0</v>
      </c>
      <c r="G187" s="94">
        <f>Model!G62</f>
        <v>0</v>
      </c>
      <c r="H187" s="94">
        <f>Model!H62</f>
        <v>0</v>
      </c>
      <c r="I187" s="94">
        <f>Model!I62</f>
        <v>0</v>
      </c>
      <c r="J187" s="94">
        <f>Model!J62</f>
        <v>0</v>
      </c>
      <c r="K187" s="94">
        <f>Model!K62</f>
        <v>0</v>
      </c>
      <c r="L187" s="94">
        <f>Model!L62</f>
        <v>0</v>
      </c>
      <c r="M187" s="94">
        <f>Model!M62</f>
        <v>0</v>
      </c>
      <c r="N187" s="94">
        <f>Model!N62</f>
        <v>0</v>
      </c>
      <c r="O187" s="94">
        <f>Model!O62</f>
        <v>0</v>
      </c>
      <c r="P187" s="94">
        <f>Model!P62</f>
        <v>0</v>
      </c>
      <c r="Q187" s="94">
        <f>Model!Q62</f>
        <v>0</v>
      </c>
      <c r="R187" s="94">
        <f>Model!R62</f>
        <v>0</v>
      </c>
      <c r="S187" s="94">
        <f>Model!S62</f>
        <v>0.9289976488560415</v>
      </c>
      <c r="T187" s="94">
        <f>Model!T62</f>
        <v>0</v>
      </c>
      <c r="U187" s="94">
        <f>Model!U62</f>
        <v>0</v>
      </c>
    </row>
    <row r="188" spans="1:21" ht="12.75">
      <c r="A188" s="95">
        <f t="shared" si="49"/>
        <v>19</v>
      </c>
      <c r="B188" s="94">
        <f>Model!B63</f>
        <v>0</v>
      </c>
      <c r="C188" s="94">
        <f>Model!C63</f>
        <v>0</v>
      </c>
      <c r="D188" s="94">
        <f>Model!D63</f>
        <v>0</v>
      </c>
      <c r="E188" s="94">
        <f>Model!E63</f>
        <v>0</v>
      </c>
      <c r="F188" s="94">
        <f>Model!F63</f>
        <v>0</v>
      </c>
      <c r="G188" s="94">
        <f>Model!G63</f>
        <v>0</v>
      </c>
      <c r="H188" s="94">
        <f>Model!H63</f>
        <v>0</v>
      </c>
      <c r="I188" s="94">
        <f>Model!I63</f>
        <v>0</v>
      </c>
      <c r="J188" s="94">
        <f>Model!J63</f>
        <v>0</v>
      </c>
      <c r="K188" s="94">
        <f>Model!K63</f>
        <v>0</v>
      </c>
      <c r="L188" s="94">
        <f>Model!L63</f>
        <v>0</v>
      </c>
      <c r="M188" s="94">
        <f>Model!M63</f>
        <v>0</v>
      </c>
      <c r="N188" s="94">
        <f>Model!N63</f>
        <v>0</v>
      </c>
      <c r="O188" s="94">
        <f>Model!O63</f>
        <v>0</v>
      </c>
      <c r="P188" s="94">
        <f>Model!P63</f>
        <v>0</v>
      </c>
      <c r="Q188" s="94">
        <f>Model!Q63</f>
        <v>0</v>
      </c>
      <c r="R188" s="94">
        <f>Model!R63</f>
        <v>0</v>
      </c>
      <c r="S188" s="94">
        <f>Model!S63</f>
        <v>0</v>
      </c>
      <c r="T188" s="94">
        <f>Model!T63</f>
        <v>0.938107011237723</v>
      </c>
      <c r="U188" s="94">
        <f>Model!U63</f>
        <v>0</v>
      </c>
    </row>
    <row r="189" spans="1:21" ht="12.75">
      <c r="A189" s="95">
        <f t="shared" si="49"/>
        <v>20</v>
      </c>
      <c r="B189" s="94">
        <f>Model!B64</f>
        <v>0</v>
      </c>
      <c r="C189" s="94">
        <f>Model!C64</f>
        <v>0</v>
      </c>
      <c r="D189" s="94">
        <f>Model!D64</f>
        <v>0</v>
      </c>
      <c r="E189" s="94">
        <f>Model!E64</f>
        <v>0</v>
      </c>
      <c r="F189" s="94">
        <f>Model!F64</f>
        <v>0</v>
      </c>
      <c r="G189" s="94">
        <f>Model!G64</f>
        <v>0</v>
      </c>
      <c r="H189" s="94">
        <f>Model!H64</f>
        <v>0</v>
      </c>
      <c r="I189" s="94">
        <f>Model!I64</f>
        <v>0</v>
      </c>
      <c r="J189" s="94">
        <f>Model!J64</f>
        <v>0</v>
      </c>
      <c r="K189" s="94">
        <f>Model!K64</f>
        <v>0</v>
      </c>
      <c r="L189" s="94">
        <f>Model!L64</f>
        <v>0</v>
      </c>
      <c r="M189" s="94">
        <f>Model!M64</f>
        <v>0</v>
      </c>
      <c r="N189" s="94">
        <f>Model!N64</f>
        <v>0</v>
      </c>
      <c r="O189" s="94">
        <f>Model!O64</f>
        <v>0</v>
      </c>
      <c r="P189" s="94">
        <f>Model!P64</f>
        <v>0</v>
      </c>
      <c r="Q189" s="94">
        <f>Model!Q64</f>
        <v>0</v>
      </c>
      <c r="R189" s="94">
        <f>Model!R64</f>
        <v>0</v>
      </c>
      <c r="S189" s="94">
        <f>Model!S64</f>
        <v>0</v>
      </c>
      <c r="T189" s="94">
        <f>Model!T64</f>
        <v>0</v>
      </c>
      <c r="U189" s="94">
        <f>Model!U64</f>
        <v>1</v>
      </c>
    </row>
    <row r="191" ht="12.75">
      <c r="X191" s="94">
        <f>SUM(X170:X189)</f>
        <v>0</v>
      </c>
    </row>
    <row r="198" ht="12.75">
      <c r="B198" s="94" t="s">
        <v>13</v>
      </c>
    </row>
    <row r="199" spans="2:21" ht="12.75">
      <c r="B199" s="95">
        <v>1</v>
      </c>
      <c r="C199" s="95">
        <f aca="true" t="shared" si="50" ref="C199:U199">B199+1</f>
        <v>2</v>
      </c>
      <c r="D199" s="95">
        <f t="shared" si="50"/>
        <v>3</v>
      </c>
      <c r="E199" s="95">
        <f t="shared" si="50"/>
        <v>4</v>
      </c>
      <c r="F199" s="95">
        <f t="shared" si="50"/>
        <v>5</v>
      </c>
      <c r="G199" s="95">
        <f t="shared" si="50"/>
        <v>6</v>
      </c>
      <c r="H199" s="95">
        <f t="shared" si="50"/>
        <v>7</v>
      </c>
      <c r="I199" s="95">
        <f t="shared" si="50"/>
        <v>8</v>
      </c>
      <c r="J199" s="95">
        <f t="shared" si="50"/>
        <v>9</v>
      </c>
      <c r="K199" s="95">
        <f t="shared" si="50"/>
        <v>10</v>
      </c>
      <c r="L199" s="95">
        <f t="shared" si="50"/>
        <v>11</v>
      </c>
      <c r="M199" s="95">
        <f t="shared" si="50"/>
        <v>12</v>
      </c>
      <c r="N199" s="95">
        <f t="shared" si="50"/>
        <v>13</v>
      </c>
      <c r="O199" s="95">
        <f t="shared" si="50"/>
        <v>14</v>
      </c>
      <c r="P199" s="95">
        <f t="shared" si="50"/>
        <v>15</v>
      </c>
      <c r="Q199" s="95">
        <f t="shared" si="50"/>
        <v>16</v>
      </c>
      <c r="R199" s="95">
        <f t="shared" si="50"/>
        <v>17</v>
      </c>
      <c r="S199" s="95">
        <f t="shared" si="50"/>
        <v>18</v>
      </c>
      <c r="T199" s="95">
        <f t="shared" si="50"/>
        <v>19</v>
      </c>
      <c r="U199" s="95">
        <f t="shared" si="50"/>
        <v>20</v>
      </c>
    </row>
    <row r="200" spans="1:21" ht="12.75">
      <c r="A200" s="95">
        <v>1</v>
      </c>
      <c r="B200" s="94">
        <f>Model!B75</f>
        <v>1</v>
      </c>
      <c r="C200" s="94">
        <f>Model!C75</f>
        <v>0</v>
      </c>
      <c r="D200" s="94">
        <f>Model!D75</f>
        <v>0</v>
      </c>
      <c r="E200" s="94">
        <f>Model!E75</f>
        <v>0</v>
      </c>
      <c r="F200" s="94">
        <f>Model!F75</f>
        <v>0</v>
      </c>
      <c r="G200" s="94">
        <f>Model!G75</f>
        <v>0</v>
      </c>
      <c r="H200" s="94">
        <f>Model!H75</f>
        <v>0</v>
      </c>
      <c r="I200" s="94">
        <f>Model!I75</f>
        <v>0</v>
      </c>
      <c r="J200" s="94">
        <f>Model!J75</f>
        <v>0</v>
      </c>
      <c r="K200" s="94">
        <f>Model!K75</f>
        <v>0</v>
      </c>
      <c r="L200" s="94">
        <f>Model!L75</f>
        <v>0</v>
      </c>
      <c r="M200" s="94">
        <f>Model!M75</f>
        <v>0</v>
      </c>
      <c r="N200" s="94">
        <f>Model!N75</f>
        <v>0</v>
      </c>
      <c r="O200" s="94">
        <f>Model!O75</f>
        <v>0</v>
      </c>
      <c r="P200" s="94">
        <f>Model!P75</f>
        <v>0</v>
      </c>
      <c r="Q200" s="94">
        <f>Model!Q75</f>
        <v>0</v>
      </c>
      <c r="R200" s="94">
        <f>Model!R75</f>
        <v>0</v>
      </c>
      <c r="S200" s="94">
        <f>Model!S75</f>
        <v>0</v>
      </c>
      <c r="T200" s="94">
        <f>Model!T75</f>
        <v>0</v>
      </c>
      <c r="U200" s="94">
        <f>Model!U75</f>
        <v>0</v>
      </c>
    </row>
    <row r="201" spans="1:21" ht="12.75">
      <c r="A201" s="95">
        <f aca="true" t="shared" si="51" ref="A201:A219">A200+1</f>
        <v>2</v>
      </c>
      <c r="B201" s="94">
        <f>Model!B76</f>
        <v>0.32059578207201406</v>
      </c>
      <c r="C201" s="94">
        <f>Model!C76</f>
        <v>1</v>
      </c>
      <c r="D201" s="94">
        <f>Model!D76</f>
        <v>0</v>
      </c>
      <c r="E201" s="94">
        <f>Model!E76</f>
        <v>0</v>
      </c>
      <c r="F201" s="94">
        <f>Model!F76</f>
        <v>0</v>
      </c>
      <c r="G201" s="94">
        <f>Model!G76</f>
        <v>0</v>
      </c>
      <c r="H201" s="94">
        <f>Model!H76</f>
        <v>0</v>
      </c>
      <c r="I201" s="94">
        <f>Model!I76</f>
        <v>0</v>
      </c>
      <c r="J201" s="94">
        <f>Model!J76</f>
        <v>0</v>
      </c>
      <c r="K201" s="94">
        <f>Model!K76</f>
        <v>0</v>
      </c>
      <c r="L201" s="94">
        <f>Model!L76</f>
        <v>0</v>
      </c>
      <c r="M201" s="94">
        <f>Model!M76</f>
        <v>0</v>
      </c>
      <c r="N201" s="94">
        <f>Model!N76</f>
        <v>0</v>
      </c>
      <c r="O201" s="94">
        <f>Model!O76</f>
        <v>0</v>
      </c>
      <c r="P201" s="94">
        <f>Model!P76</f>
        <v>0</v>
      </c>
      <c r="Q201" s="94">
        <f>Model!Q76</f>
        <v>0</v>
      </c>
      <c r="R201" s="94">
        <f>Model!R76</f>
        <v>0</v>
      </c>
      <c r="S201" s="94">
        <f>Model!S76</f>
        <v>0</v>
      </c>
      <c r="T201" s="94">
        <f>Model!T76</f>
        <v>0</v>
      </c>
      <c r="U201" s="94">
        <f>Model!U76</f>
        <v>0</v>
      </c>
    </row>
    <row r="202" spans="1:21" ht="12.75">
      <c r="A202" s="95">
        <f t="shared" si="51"/>
        <v>3</v>
      </c>
      <c r="B202" s="94">
        <f>Model!B77</f>
        <v>0.15986630176798422</v>
      </c>
      <c r="C202" s="94">
        <f>Model!C77</f>
        <v>0.5112771528707645</v>
      </c>
      <c r="D202" s="94">
        <f>Model!D77</f>
        <v>1</v>
      </c>
      <c r="E202" s="94">
        <f>Model!E77</f>
        <v>0</v>
      </c>
      <c r="F202" s="94">
        <f>Model!F77</f>
        <v>0</v>
      </c>
      <c r="G202" s="94">
        <f>Model!G77</f>
        <v>0</v>
      </c>
      <c r="H202" s="94">
        <f>Model!H77</f>
        <v>0</v>
      </c>
      <c r="I202" s="94">
        <f>Model!I77</f>
        <v>0</v>
      </c>
      <c r="J202" s="94">
        <f>Model!J77</f>
        <v>0</v>
      </c>
      <c r="K202" s="94">
        <f>Model!K77</f>
        <v>0</v>
      </c>
      <c r="L202" s="94">
        <f>Model!L77</f>
        <v>0</v>
      </c>
      <c r="M202" s="94">
        <f>Model!M77</f>
        <v>0</v>
      </c>
      <c r="N202" s="94">
        <f>Model!N77</f>
        <v>0</v>
      </c>
      <c r="O202" s="94">
        <f>Model!O77</f>
        <v>0</v>
      </c>
      <c r="P202" s="94">
        <f>Model!P77</f>
        <v>0</v>
      </c>
      <c r="Q202" s="94">
        <f>Model!Q77</f>
        <v>0</v>
      </c>
      <c r="R202" s="94">
        <f>Model!R77</f>
        <v>0</v>
      </c>
      <c r="S202" s="94">
        <f>Model!S77</f>
        <v>0</v>
      </c>
      <c r="T202" s="94">
        <f>Model!T77</f>
        <v>0</v>
      </c>
      <c r="U202" s="94">
        <f>Model!U77</f>
        <v>0</v>
      </c>
    </row>
    <row r="203" spans="1:21" ht="12.75">
      <c r="A203" s="95">
        <f t="shared" si="51"/>
        <v>4</v>
      </c>
      <c r="B203" s="94">
        <f>Model!B78</f>
        <v>0.08059291165242596</v>
      </c>
      <c r="C203" s="94">
        <f>Model!C78</f>
        <v>0.2853695703054405</v>
      </c>
      <c r="D203" s="94">
        <f>Model!D78</f>
        <v>0.8840564524782573</v>
      </c>
      <c r="E203" s="94">
        <f>Model!E78</f>
        <v>1</v>
      </c>
      <c r="F203" s="94">
        <f>Model!F78</f>
        <v>0</v>
      </c>
      <c r="G203" s="94">
        <f>Model!G78</f>
        <v>0</v>
      </c>
      <c r="H203" s="94">
        <f>Model!H78</f>
        <v>0</v>
      </c>
      <c r="I203" s="94">
        <f>Model!I78</f>
        <v>0</v>
      </c>
      <c r="J203" s="94">
        <f>Model!J78</f>
        <v>0</v>
      </c>
      <c r="K203" s="94">
        <f>Model!K78</f>
        <v>0</v>
      </c>
      <c r="L203" s="94">
        <f>Model!L78</f>
        <v>0</v>
      </c>
      <c r="M203" s="94">
        <f>Model!M78</f>
        <v>0</v>
      </c>
      <c r="N203" s="94">
        <f>Model!N78</f>
        <v>0</v>
      </c>
      <c r="O203" s="94">
        <f>Model!O78</f>
        <v>0</v>
      </c>
      <c r="P203" s="94">
        <f>Model!P78</f>
        <v>0</v>
      </c>
      <c r="Q203" s="94">
        <f>Model!Q78</f>
        <v>0</v>
      </c>
      <c r="R203" s="94">
        <f>Model!R78</f>
        <v>0</v>
      </c>
      <c r="S203" s="94">
        <f>Model!S78</f>
        <v>0</v>
      </c>
      <c r="T203" s="94">
        <f>Model!T78</f>
        <v>0</v>
      </c>
      <c r="U203" s="94">
        <f>Model!U78</f>
        <v>0</v>
      </c>
    </row>
    <row r="204" spans="1:21" ht="12.75">
      <c r="A204" s="95">
        <f t="shared" si="51"/>
        <v>5</v>
      </c>
      <c r="B204" s="94">
        <f>Model!B79</f>
        <v>0.08055599883602653</v>
      </c>
      <c r="C204" s="94">
        <f>Model!C79</f>
        <v>0.3099169276012454</v>
      </c>
      <c r="D204" s="94">
        <f>Model!D79</f>
        <v>1.3877731949368868</v>
      </c>
      <c r="E204" s="94">
        <f>Model!E79</f>
        <v>6.97081235188318</v>
      </c>
      <c r="F204" s="94">
        <f>Model!F79</f>
        <v>1</v>
      </c>
      <c r="G204" s="94">
        <f>Model!G79</f>
        <v>0</v>
      </c>
      <c r="H204" s="94">
        <f>Model!H79</f>
        <v>0</v>
      </c>
      <c r="I204" s="94">
        <f>Model!I79</f>
        <v>0</v>
      </c>
      <c r="J204" s="94">
        <f>Model!J79</f>
        <v>0</v>
      </c>
      <c r="K204" s="94">
        <f>Model!K79</f>
        <v>0</v>
      </c>
      <c r="L204" s="94">
        <f>Model!L79</f>
        <v>0</v>
      </c>
      <c r="M204" s="94">
        <f>Model!M79</f>
        <v>0</v>
      </c>
      <c r="N204" s="94">
        <f>Model!N79</f>
        <v>0</v>
      </c>
      <c r="O204" s="94">
        <f>Model!O79</f>
        <v>0</v>
      </c>
      <c r="P204" s="94">
        <f>Model!P79</f>
        <v>0</v>
      </c>
      <c r="Q204" s="94">
        <f>Model!Q79</f>
        <v>0</v>
      </c>
      <c r="R204" s="94">
        <f>Model!R79</f>
        <v>0</v>
      </c>
      <c r="S204" s="94">
        <f>Model!S79</f>
        <v>0</v>
      </c>
      <c r="T204" s="94">
        <f>Model!T79</f>
        <v>0</v>
      </c>
      <c r="U204" s="94">
        <f>Model!U79</f>
        <v>0</v>
      </c>
    </row>
    <row r="205" spans="1:21" ht="12.75">
      <c r="A205" s="95">
        <f t="shared" si="51"/>
        <v>6</v>
      </c>
      <c r="B205" s="94">
        <f>Model!B80</f>
        <v>0.09445575598219416</v>
      </c>
      <c r="C205" s="94">
        <f>Model!C80</f>
        <v>0.42148649335547206</v>
      </c>
      <c r="D205" s="94">
        <f>Model!D80</f>
        <v>3.536262820687605</v>
      </c>
      <c r="E205" s="94">
        <f>Model!E80</f>
        <v>-53.028423570889416</v>
      </c>
      <c r="F205" s="94">
        <f>Model!F80</f>
        <v>-3.685379851028411</v>
      </c>
      <c r="G205" s="94">
        <f>Model!G80</f>
        <v>1</v>
      </c>
      <c r="H205" s="94">
        <f>Model!H80</f>
        <v>0</v>
      </c>
      <c r="I205" s="94">
        <f>Model!I80</f>
        <v>0</v>
      </c>
      <c r="J205" s="94">
        <f>Model!J80</f>
        <v>0</v>
      </c>
      <c r="K205" s="94">
        <f>Model!K80</f>
        <v>0</v>
      </c>
      <c r="L205" s="94">
        <f>Model!L80</f>
        <v>0</v>
      </c>
      <c r="M205" s="94">
        <f>Model!M80</f>
        <v>0</v>
      </c>
      <c r="N205" s="94">
        <f>Model!N80</f>
        <v>0</v>
      </c>
      <c r="O205" s="94">
        <f>Model!O80</f>
        <v>0</v>
      </c>
      <c r="P205" s="94">
        <f>Model!P80</f>
        <v>0</v>
      </c>
      <c r="Q205" s="94">
        <f>Model!Q80</f>
        <v>0</v>
      </c>
      <c r="R205" s="94">
        <f>Model!R80</f>
        <v>0</v>
      </c>
      <c r="S205" s="94">
        <f>Model!S80</f>
        <v>0</v>
      </c>
      <c r="T205" s="94">
        <f>Model!T80</f>
        <v>0</v>
      </c>
      <c r="U205" s="94">
        <f>Model!U80</f>
        <v>0</v>
      </c>
    </row>
    <row r="206" spans="1:21" ht="12.75">
      <c r="A206" s="95">
        <f t="shared" si="51"/>
        <v>7</v>
      </c>
      <c r="B206" s="94">
        <f>Model!B81</f>
        <v>0.12238725554282741</v>
      </c>
      <c r="C206" s="94">
        <f>Model!C81</f>
        <v>0.6945512372104152</v>
      </c>
      <c r="D206" s="94">
        <f>Model!D81</f>
        <v>26.537923582832576</v>
      </c>
      <c r="E206" s="94">
        <f>Model!E81</f>
        <v>83.64051566492026</v>
      </c>
      <c r="F206" s="94">
        <f>Model!F81</f>
        <v>4.34713943935746</v>
      </c>
      <c r="G206" s="94">
        <f>Model!G81</f>
        <v>-2.2913611398569516</v>
      </c>
      <c r="H206" s="94">
        <f>Model!H81</f>
        <v>1</v>
      </c>
      <c r="I206" s="94">
        <f>Model!I81</f>
        <v>0</v>
      </c>
      <c r="J206" s="94">
        <f>Model!J81</f>
        <v>0</v>
      </c>
      <c r="K206" s="94">
        <f>Model!K81</f>
        <v>0</v>
      </c>
      <c r="L206" s="94">
        <f>Model!L81</f>
        <v>0</v>
      </c>
      <c r="M206" s="94">
        <f>Model!M81</f>
        <v>0</v>
      </c>
      <c r="N206" s="94">
        <f>Model!N81</f>
        <v>0</v>
      </c>
      <c r="O206" s="94">
        <f>Model!O81</f>
        <v>0</v>
      </c>
      <c r="P206" s="94">
        <f>Model!P81</f>
        <v>0</v>
      </c>
      <c r="Q206" s="94">
        <f>Model!Q81</f>
        <v>0</v>
      </c>
      <c r="R206" s="94">
        <f>Model!R81</f>
        <v>0</v>
      </c>
      <c r="S206" s="94">
        <f>Model!S81</f>
        <v>0</v>
      </c>
      <c r="T206" s="94">
        <f>Model!T81</f>
        <v>0</v>
      </c>
      <c r="U206" s="94">
        <f>Model!U81</f>
        <v>0</v>
      </c>
    </row>
    <row r="207" spans="1:21" ht="12.75">
      <c r="A207" s="95">
        <f t="shared" si="51"/>
        <v>8</v>
      </c>
      <c r="B207" s="94">
        <f>Model!B82</f>
        <v>0.19427713339602815</v>
      </c>
      <c r="C207" s="94">
        <f>Model!C82</f>
        <v>1.6487691445855615</v>
      </c>
      <c r="D207" s="94">
        <f>Model!D82</f>
        <v>-103.01003263592403</v>
      </c>
      <c r="E207" s="94">
        <f>Model!E82</f>
        <v>-52.212774104254045</v>
      </c>
      <c r="F207" s="94">
        <f>Model!F82</f>
        <v>-2.1403373664874454</v>
      </c>
      <c r="G207" s="94">
        <f>Model!G82</f>
        <v>1.8671548736810555</v>
      </c>
      <c r="H207" s="94">
        <f>Model!H82</f>
        <v>-2.1283783262001377</v>
      </c>
      <c r="I207" s="94">
        <f>Model!I82</f>
        <v>1</v>
      </c>
      <c r="J207" s="94">
        <f>Model!J82</f>
        <v>0</v>
      </c>
      <c r="K207" s="94">
        <f>Model!K82</f>
        <v>0</v>
      </c>
      <c r="L207" s="94">
        <f>Model!L82</f>
        <v>0</v>
      </c>
      <c r="M207" s="94">
        <f>Model!M82</f>
        <v>0</v>
      </c>
      <c r="N207" s="94">
        <f>Model!N82</f>
        <v>0</v>
      </c>
      <c r="O207" s="94">
        <f>Model!O82</f>
        <v>0</v>
      </c>
      <c r="P207" s="94">
        <f>Model!P82</f>
        <v>0</v>
      </c>
      <c r="Q207" s="94">
        <f>Model!Q82</f>
        <v>0</v>
      </c>
      <c r="R207" s="94">
        <f>Model!R82</f>
        <v>0</v>
      </c>
      <c r="S207" s="94">
        <f>Model!S82</f>
        <v>0</v>
      </c>
      <c r="T207" s="94">
        <f>Model!T82</f>
        <v>0</v>
      </c>
      <c r="U207" s="94">
        <f>Model!U82</f>
        <v>0</v>
      </c>
    </row>
    <row r="208" spans="1:21" ht="12.75">
      <c r="A208" s="95">
        <f t="shared" si="51"/>
        <v>9</v>
      </c>
      <c r="B208" s="94">
        <f>Model!B83</f>
        <v>0.2984785814802641</v>
      </c>
      <c r="C208" s="94">
        <f>Model!C83</f>
        <v>5.8698581670429855</v>
      </c>
      <c r="D208" s="94">
        <f>Model!D83</f>
        <v>101.08362411000344</v>
      </c>
      <c r="E208" s="94">
        <f>Model!E83</f>
        <v>13.807883842579647</v>
      </c>
      <c r="F208" s="94">
        <f>Model!F83</f>
        <v>0.45281371990314084</v>
      </c>
      <c r="G208" s="94">
        <f>Model!G83</f>
        <v>-0.6248207472280123</v>
      </c>
      <c r="H208" s="94">
        <f>Model!H83</f>
        <v>1.4759385657555242</v>
      </c>
      <c r="I208" s="94">
        <f>Model!I83</f>
        <v>-1.947529431254533</v>
      </c>
      <c r="J208" s="94">
        <f>Model!J83</f>
        <v>1</v>
      </c>
      <c r="K208" s="94">
        <f>Model!K83</f>
        <v>0</v>
      </c>
      <c r="L208" s="94">
        <f>Model!L83</f>
        <v>0</v>
      </c>
      <c r="M208" s="94">
        <f>Model!M83</f>
        <v>0</v>
      </c>
      <c r="N208" s="94">
        <f>Model!N83</f>
        <v>0</v>
      </c>
      <c r="O208" s="94">
        <f>Model!O83</f>
        <v>0</v>
      </c>
      <c r="P208" s="94">
        <f>Model!P83</f>
        <v>0</v>
      </c>
      <c r="Q208" s="94">
        <f>Model!Q83</f>
        <v>0</v>
      </c>
      <c r="R208" s="94">
        <f>Model!R83</f>
        <v>0</v>
      </c>
      <c r="S208" s="94">
        <f>Model!S83</f>
        <v>0</v>
      </c>
      <c r="T208" s="94">
        <f>Model!T83</f>
        <v>0</v>
      </c>
      <c r="U208" s="94">
        <f>Model!U83</f>
        <v>0</v>
      </c>
    </row>
    <row r="209" spans="1:21" ht="12.75">
      <c r="A209" s="95">
        <f t="shared" si="51"/>
        <v>10</v>
      </c>
      <c r="B209" s="94">
        <f>Model!B84</f>
        <v>0.5600771441150322</v>
      </c>
      <c r="C209" s="94">
        <f>Model!C84</f>
        <v>-595.5102429091869</v>
      </c>
      <c r="D209" s="94">
        <f>Model!D84</f>
        <v>-37.66433437021798</v>
      </c>
      <c r="E209" s="94">
        <f>Model!E84</f>
        <v>-0.5526819935466024</v>
      </c>
      <c r="F209" s="94">
        <f>Model!F84</f>
        <v>-0.0012835642205047473</v>
      </c>
      <c r="G209" s="94">
        <f>Model!G84</f>
        <v>0.05253158871232572</v>
      </c>
      <c r="H209" s="94">
        <f>Model!H84</f>
        <v>-0.38286402606739867</v>
      </c>
      <c r="I209" s="94">
        <f>Model!I84</f>
        <v>1.2936115824546817</v>
      </c>
      <c r="J209" s="94">
        <f>Model!J84</f>
        <v>-2.03559915277026</v>
      </c>
      <c r="K209" s="94">
        <f>Model!K84</f>
        <v>1</v>
      </c>
      <c r="L209" s="94">
        <f>Model!L84</f>
        <v>0</v>
      </c>
      <c r="M209" s="94">
        <f>Model!M84</f>
        <v>0</v>
      </c>
      <c r="N209" s="94">
        <f>Model!N84</f>
        <v>0</v>
      </c>
      <c r="O209" s="94">
        <f>Model!O84</f>
        <v>0</v>
      </c>
      <c r="P209" s="94">
        <f>Model!P84</f>
        <v>0</v>
      </c>
      <c r="Q209" s="94">
        <f>Model!Q84</f>
        <v>0</v>
      </c>
      <c r="R209" s="94">
        <f>Model!R84</f>
        <v>0</v>
      </c>
      <c r="S209" s="94">
        <f>Model!S84</f>
        <v>0</v>
      </c>
      <c r="T209" s="94">
        <f>Model!T84</f>
        <v>0</v>
      </c>
      <c r="U209" s="94">
        <f>Model!U84</f>
        <v>0</v>
      </c>
    </row>
    <row r="210" spans="1:21" ht="12.75">
      <c r="A210" s="95">
        <f t="shared" si="51"/>
        <v>11</v>
      </c>
      <c r="B210" s="94">
        <f>Model!B85</f>
        <v>1.2540475706244953</v>
      </c>
      <c r="C210" s="94">
        <f>Model!C85</f>
        <v>1134.9302101298413</v>
      </c>
      <c r="D210" s="94">
        <f>Model!D85</f>
        <v>5.542797880599983</v>
      </c>
      <c r="E210" s="94">
        <f>Model!E85</f>
        <v>0.04329171647051117</v>
      </c>
      <c r="F210" s="94">
        <f>Model!F85</f>
        <v>0.004043383614266367</v>
      </c>
      <c r="G210" s="94">
        <f>Model!G85</f>
        <v>-0.00015929672985510475</v>
      </c>
      <c r="H210" s="94">
        <f>Model!H85</f>
        <v>0.03299409929797655</v>
      </c>
      <c r="I210" s="94">
        <f>Model!I85</f>
        <v>-0.3565069200726104</v>
      </c>
      <c r="J210" s="94">
        <f>Model!J85</f>
        <v>1.3847958044371658</v>
      </c>
      <c r="K210" s="94">
        <f>Model!K85</f>
        <v>-1.9765497556528933</v>
      </c>
      <c r="L210" s="94">
        <f>Model!L85</f>
        <v>1</v>
      </c>
      <c r="M210" s="94">
        <f>Model!M85</f>
        <v>0</v>
      </c>
      <c r="N210" s="94">
        <f>Model!N85</f>
        <v>0</v>
      </c>
      <c r="O210" s="94">
        <f>Model!O85</f>
        <v>0</v>
      </c>
      <c r="P210" s="94">
        <f>Model!P85</f>
        <v>0</v>
      </c>
      <c r="Q210" s="94">
        <f>Model!Q85</f>
        <v>0</v>
      </c>
      <c r="R210" s="94">
        <f>Model!R85</f>
        <v>0</v>
      </c>
      <c r="S210" s="94">
        <f>Model!S85</f>
        <v>0</v>
      </c>
      <c r="T210" s="94">
        <f>Model!T85</f>
        <v>0</v>
      </c>
      <c r="U210" s="94">
        <f>Model!U85</f>
        <v>0</v>
      </c>
    </row>
    <row r="211" spans="1:21" ht="12.75">
      <c r="A211" s="95">
        <f t="shared" si="51"/>
        <v>12</v>
      </c>
      <c r="B211" s="94">
        <f>Model!B86</f>
        <v>4.379320249938429</v>
      </c>
      <c r="C211" s="94">
        <f>Model!C86</f>
        <v>-732.9395973223537</v>
      </c>
      <c r="D211" s="94">
        <f>Model!D86</f>
        <v>0.09618857318762819</v>
      </c>
      <c r="E211" s="94">
        <f>Model!E86</f>
        <v>0.051513251399981246</v>
      </c>
      <c r="F211" s="94">
        <f>Model!F86</f>
        <v>0.0036554670292066947</v>
      </c>
      <c r="G211" s="94">
        <f>Model!G86</f>
        <v>-0.0005032831455841521</v>
      </c>
      <c r="H211" s="94">
        <f>Model!H86</f>
        <v>0.0011630135855763223</v>
      </c>
      <c r="I211" s="94">
        <f>Model!I86</f>
        <v>0.023705444059092085</v>
      </c>
      <c r="J211" s="94">
        <f>Model!J86</f>
        <v>-0.37078964307891293</v>
      </c>
      <c r="K211" s="94">
        <f>Model!K86</f>
        <v>1.3095136892462738</v>
      </c>
      <c r="L211" s="94">
        <f>Model!L86</f>
        <v>-1.9853530983508778</v>
      </c>
      <c r="M211" s="94">
        <f>Model!M86</f>
        <v>1</v>
      </c>
      <c r="N211" s="94">
        <f>Model!N86</f>
        <v>0</v>
      </c>
      <c r="O211" s="94">
        <f>Model!O86</f>
        <v>0</v>
      </c>
      <c r="P211" s="94">
        <f>Model!P86</f>
        <v>0</v>
      </c>
      <c r="Q211" s="94">
        <f>Model!Q86</f>
        <v>0</v>
      </c>
      <c r="R211" s="94">
        <f>Model!R86</f>
        <v>0</v>
      </c>
      <c r="S211" s="94">
        <f>Model!S86</f>
        <v>0</v>
      </c>
      <c r="T211" s="94">
        <f>Model!T86</f>
        <v>0</v>
      </c>
      <c r="U211" s="94">
        <f>Model!U86</f>
        <v>0</v>
      </c>
    </row>
    <row r="212" spans="1:21" ht="12.75">
      <c r="A212" s="95">
        <f t="shared" si="51"/>
        <v>13</v>
      </c>
      <c r="B212" s="94">
        <f>Model!B87</f>
        <v>205.13211340856006</v>
      </c>
      <c r="C212" s="94">
        <f>Model!C87</f>
        <v>188.60696974514727</v>
      </c>
      <c r="D212" s="94">
        <f>Model!D87</f>
        <v>0.09586619653467995</v>
      </c>
      <c r="E212" s="94">
        <f>Model!E87</f>
        <v>0.044238031002648004</v>
      </c>
      <c r="F212" s="94">
        <f>Model!F87</f>
        <v>0.0030662116885300872</v>
      </c>
      <c r="G212" s="94">
        <f>Model!G87</f>
        <v>-0.00044777023048215463</v>
      </c>
      <c r="H212" s="94">
        <f>Model!H87</f>
        <v>0.00025632875311154497</v>
      </c>
      <c r="I212" s="94">
        <f>Model!I87</f>
        <v>-0.0015010888433561918</v>
      </c>
      <c r="J212" s="94">
        <f>Model!J87</f>
        <v>0.027040702434944386</v>
      </c>
      <c r="K212" s="94">
        <f>Model!K87</f>
        <v>-0.3459124586832233</v>
      </c>
      <c r="L212" s="94">
        <f>Model!L87</f>
        <v>1.3157679397004152</v>
      </c>
      <c r="M212" s="94">
        <f>Model!M87</f>
        <v>-1.975682197483221</v>
      </c>
      <c r="N212" s="94">
        <f>Model!N87</f>
        <v>1</v>
      </c>
      <c r="O212" s="94">
        <f>Model!O87</f>
        <v>0</v>
      </c>
      <c r="P212" s="94">
        <f>Model!P87</f>
        <v>0</v>
      </c>
      <c r="Q212" s="94">
        <f>Model!Q87</f>
        <v>0</v>
      </c>
      <c r="R212" s="94">
        <f>Model!R87</f>
        <v>0</v>
      </c>
      <c r="S212" s="94">
        <f>Model!S87</f>
        <v>0</v>
      </c>
      <c r="T212" s="94">
        <f>Model!T87</f>
        <v>0</v>
      </c>
      <c r="U212" s="94">
        <f>Model!U87</f>
        <v>0</v>
      </c>
    </row>
    <row r="213" spans="1:21" ht="12.75">
      <c r="A213" s="95">
        <f t="shared" si="51"/>
        <v>14</v>
      </c>
      <c r="B213" s="94">
        <f>Model!B88</f>
        <v>-441.12664749421873</v>
      </c>
      <c r="C213" s="94">
        <f>Model!C88</f>
        <v>-11.404413098920344</v>
      </c>
      <c r="D213" s="94">
        <f>Model!D88</f>
        <v>0.08078883616639333</v>
      </c>
      <c r="E213" s="94">
        <f>Model!E88</f>
        <v>0.03709406289255542</v>
      </c>
      <c r="F213" s="94">
        <f>Model!F88</f>
        <v>0.002562723875535122</v>
      </c>
      <c r="G213" s="94">
        <f>Model!G88</f>
        <v>-0.0003770289620570585</v>
      </c>
      <c r="H213" s="94">
        <f>Model!H88</f>
        <v>0.00015113198323984234</v>
      </c>
      <c r="I213" s="94">
        <f>Model!I88</f>
        <v>-0.00181559426639707</v>
      </c>
      <c r="J213" s="94">
        <f>Model!J88</f>
        <v>-0.00012684651024031865</v>
      </c>
      <c r="K213" s="94">
        <f>Model!K88</f>
        <v>0.02234294182245598</v>
      </c>
      <c r="L213" s="94">
        <f>Model!L88</f>
        <v>-0.34381689841862817</v>
      </c>
      <c r="M213" s="94">
        <f>Model!M88</f>
        <v>1.302129988355119</v>
      </c>
      <c r="N213" s="94">
        <f>Model!N88</f>
        <v>-1.9775930393521148</v>
      </c>
      <c r="O213" s="94">
        <f>Model!O88</f>
        <v>1</v>
      </c>
      <c r="P213" s="94">
        <f>Model!P88</f>
        <v>0</v>
      </c>
      <c r="Q213" s="94">
        <f>Model!Q88</f>
        <v>0</v>
      </c>
      <c r="R213" s="94">
        <f>Model!R88</f>
        <v>0</v>
      </c>
      <c r="S213" s="94">
        <f>Model!S88</f>
        <v>0</v>
      </c>
      <c r="T213" s="94">
        <f>Model!T88</f>
        <v>0</v>
      </c>
      <c r="U213" s="94">
        <f>Model!U88</f>
        <v>0</v>
      </c>
    </row>
    <row r="214" spans="1:21" ht="12.75">
      <c r="A214" s="95">
        <f t="shared" si="51"/>
        <v>15</v>
      </c>
      <c r="B214" s="94">
        <f>Model!B89</f>
        <v>308.92685777612877</v>
      </c>
      <c r="C214" s="94">
        <f>Model!C89</f>
        <v>0.5038152536921753</v>
      </c>
      <c r="D214" s="94">
        <f>Model!D89</f>
        <v>0.06798308884813849</v>
      </c>
      <c r="E214" s="94">
        <f>Model!E89</f>
        <v>0.03127160786879798</v>
      </c>
      <c r="F214" s="94">
        <f>Model!F89</f>
        <v>0.002159714167068909</v>
      </c>
      <c r="G214" s="94">
        <f>Model!G89</f>
        <v>-0.00031797875584633947</v>
      </c>
      <c r="H214" s="94">
        <f>Model!H89</f>
        <v>0.0001186809133523873</v>
      </c>
      <c r="I214" s="94">
        <f>Model!I89</f>
        <v>-0.0015754507078328112</v>
      </c>
      <c r="J214" s="94">
        <f>Model!J89</f>
        <v>-0.0007773090235859624</v>
      </c>
      <c r="K214" s="94">
        <f>Model!K89</f>
        <v>-0.000793837281089956</v>
      </c>
      <c r="L214" s="94">
        <f>Model!L89</f>
        <v>0.02188678290469136</v>
      </c>
      <c r="M214" s="94">
        <f>Model!M89</f>
        <v>-0.3393069722949239</v>
      </c>
      <c r="N214" s="94">
        <f>Model!N89</f>
        <v>1.3079733007974865</v>
      </c>
      <c r="O214" s="94">
        <f>Model!O89</f>
        <v>-1.9813134868117435</v>
      </c>
      <c r="P214" s="94">
        <f>Model!P89</f>
        <v>1</v>
      </c>
      <c r="Q214" s="94">
        <f>Model!Q89</f>
        <v>0</v>
      </c>
      <c r="R214" s="94">
        <f>Model!R89</f>
        <v>0</v>
      </c>
      <c r="S214" s="94">
        <f>Model!S89</f>
        <v>0</v>
      </c>
      <c r="T214" s="94">
        <f>Model!T89</f>
        <v>0</v>
      </c>
      <c r="U214" s="94">
        <f>Model!U89</f>
        <v>0</v>
      </c>
    </row>
    <row r="215" spans="1:21" ht="12.75">
      <c r="A215" s="95">
        <f t="shared" si="51"/>
        <v>16</v>
      </c>
      <c r="B215" s="94">
        <f>Model!B90</f>
        <v>-85.85849421774223</v>
      </c>
      <c r="C215" s="94">
        <f>Model!C90</f>
        <v>0.7684303549513959</v>
      </c>
      <c r="D215" s="94">
        <f>Model!D90</f>
        <v>0.05677990174059701</v>
      </c>
      <c r="E215" s="94">
        <f>Model!E90</f>
        <v>0.026180180703835987</v>
      </c>
      <c r="F215" s="94">
        <f>Model!F90</f>
        <v>0.0018084034261444618</v>
      </c>
      <c r="G215" s="94">
        <f>Model!G90</f>
        <v>-0.000266150115456028</v>
      </c>
      <c r="H215" s="94">
        <f>Model!H90</f>
        <v>9.778036613751723E-05</v>
      </c>
      <c r="I215" s="94">
        <f>Model!I90</f>
        <v>-0.0013208139170260162</v>
      </c>
      <c r="J215" s="94">
        <f>Model!J90</f>
        <v>-0.0007092710098569334</v>
      </c>
      <c r="K215" s="94">
        <f>Model!K90</f>
        <v>-0.001299150965509363</v>
      </c>
      <c r="L215" s="94">
        <f>Model!L90</f>
        <v>-0.0006877355393428346</v>
      </c>
      <c r="M215" s="94">
        <f>Model!M90</f>
        <v>0.021876789998430887</v>
      </c>
      <c r="N215" s="94">
        <f>Model!N90</f>
        <v>-0.34300023092737325</v>
      </c>
      <c r="O215" s="94">
        <f>Model!O90</f>
        <v>1.3100489592227536</v>
      </c>
      <c r="P215" s="94">
        <f>Model!P90</f>
        <v>-1.9775360145526266</v>
      </c>
      <c r="Q215" s="94">
        <f>Model!Q90</f>
        <v>1</v>
      </c>
      <c r="R215" s="94">
        <f>Model!R90</f>
        <v>0</v>
      </c>
      <c r="S215" s="94">
        <f>Model!S90</f>
        <v>0</v>
      </c>
      <c r="T215" s="94">
        <f>Model!T90</f>
        <v>0</v>
      </c>
      <c r="U215" s="94">
        <f>Model!U90</f>
        <v>0</v>
      </c>
    </row>
    <row r="216" spans="1:21" ht="12.75">
      <c r="A216" s="95">
        <f t="shared" si="51"/>
        <v>17</v>
      </c>
      <c r="B216" s="94">
        <f>Model!B91</f>
        <v>6.26419374215842</v>
      </c>
      <c r="C216" s="94">
        <f>Model!C91</f>
        <v>0.6782704290352154</v>
      </c>
      <c r="D216" s="94">
        <f>Model!D91</f>
        <v>0.0478606072476835</v>
      </c>
      <c r="E216" s="94">
        <f>Model!E91</f>
        <v>0.0221070463770798</v>
      </c>
      <c r="F216" s="94">
        <f>Model!F91</f>
        <v>0.001527365987139669</v>
      </c>
      <c r="G216" s="94">
        <f>Model!G91</f>
        <v>-0.0002246871321800097</v>
      </c>
      <c r="H216" s="94">
        <f>Model!H91</f>
        <v>8.219736811655284E-05</v>
      </c>
      <c r="I216" s="94">
        <f>Model!I91</f>
        <v>-0.0011134075033558506</v>
      </c>
      <c r="J216" s="94">
        <f>Model!J91</f>
        <v>-0.0006047479210225947</v>
      </c>
      <c r="K216" s="94">
        <f>Model!K91</f>
        <v>-0.001150397126374822</v>
      </c>
      <c r="L216" s="94">
        <f>Model!L91</f>
        <v>-0.001179400682292569</v>
      </c>
      <c r="M216" s="94">
        <f>Model!M91</f>
        <v>-0.0007462972292380155</v>
      </c>
      <c r="N216" s="94">
        <f>Model!N91</f>
        <v>0.021814913012148895</v>
      </c>
      <c r="O216" s="94">
        <f>Model!O91</f>
        <v>-0.34236027711487277</v>
      </c>
      <c r="P216" s="94">
        <f>Model!P91</f>
        <v>1.3078879330080986</v>
      </c>
      <c r="Q216" s="94">
        <f>Model!Q91</f>
        <v>-1.9812965013204746</v>
      </c>
      <c r="R216" s="94">
        <f>Model!R91</f>
        <v>1</v>
      </c>
      <c r="S216" s="94">
        <f>Model!S91</f>
        <v>0</v>
      </c>
      <c r="T216" s="94">
        <f>Model!T91</f>
        <v>0</v>
      </c>
      <c r="U216" s="94">
        <f>Model!U91</f>
        <v>0</v>
      </c>
    </row>
    <row r="217" spans="1:21" ht="12.75">
      <c r="A217" s="95">
        <f t="shared" si="51"/>
        <v>18</v>
      </c>
      <c r="B217" s="94">
        <f>Model!B92</f>
        <v>-0.034766180081778966</v>
      </c>
      <c r="C217" s="94">
        <f>Model!C92</f>
        <v>0.3105459145690675</v>
      </c>
      <c r="D217" s="94">
        <f>Model!D92</f>
        <v>0.02214440126019013</v>
      </c>
      <c r="E217" s="94">
        <f>Model!E92</f>
        <v>0.010285593708685953</v>
      </c>
      <c r="F217" s="94">
        <f>Model!F92</f>
        <v>0.0007111329446142913</v>
      </c>
      <c r="G217" s="94">
        <f>Model!G92</f>
        <v>-0.00010445048486871758</v>
      </c>
      <c r="H217" s="94">
        <f>Model!H92</f>
        <v>3.80658004903095E-05</v>
      </c>
      <c r="I217" s="94">
        <f>Model!I92</f>
        <v>-0.0005136826021835111</v>
      </c>
      <c r="J217" s="94">
        <f>Model!J92</f>
        <v>-0.0002778508335192438</v>
      </c>
      <c r="K217" s="94">
        <f>Model!K92</f>
        <v>-0.000526780414630675</v>
      </c>
      <c r="L217" s="94">
        <f>Model!L92</f>
        <v>-0.0005580500878854337</v>
      </c>
      <c r="M217" s="94">
        <f>Model!M92</f>
        <v>-0.0006477907739227707</v>
      </c>
      <c r="N217" s="94">
        <f>Model!N92</f>
        <v>-0.00025945479807878665</v>
      </c>
      <c r="O217" s="94">
        <f>Model!O92</f>
        <v>0.016425334123109096</v>
      </c>
      <c r="P217" s="94">
        <f>Model!P92</f>
        <v>-0.24943627713808883</v>
      </c>
      <c r="Q217" s="94">
        <f>Model!Q92</f>
        <v>0.9905751550411047</v>
      </c>
      <c r="R217" s="94">
        <f>Model!R92</f>
        <v>-1.6942110184813557</v>
      </c>
      <c r="S217" s="94">
        <f>Model!S92</f>
        <v>1</v>
      </c>
      <c r="T217" s="94">
        <f>Model!T92</f>
        <v>0</v>
      </c>
      <c r="U217" s="94">
        <f>Model!U92</f>
        <v>0</v>
      </c>
    </row>
    <row r="218" spans="1:21" ht="12.75">
      <c r="A218" s="95">
        <f t="shared" si="51"/>
        <v>19</v>
      </c>
      <c r="B218" s="94">
        <f>Model!B93</f>
        <v>-0.11077624322224869</v>
      </c>
      <c r="C218" s="94">
        <f>Model!C93</f>
        <v>0.2689664920362115</v>
      </c>
      <c r="D218" s="94">
        <f>Model!D93</f>
        <v>0.01899842994798421</v>
      </c>
      <c r="E218" s="94">
        <f>Model!E93</f>
        <v>0.008805801281794975</v>
      </c>
      <c r="F218" s="94">
        <f>Model!F93</f>
        <v>0.0006086624949423481</v>
      </c>
      <c r="G218" s="94">
        <f>Model!G93</f>
        <v>-8.945120816682385E-05</v>
      </c>
      <c r="H218" s="94">
        <f>Model!H93</f>
        <v>3.26318990411781E-05</v>
      </c>
      <c r="I218" s="94">
        <f>Model!I93</f>
        <v>-0.00044127180738474025</v>
      </c>
      <c r="J218" s="94">
        <f>Model!J93</f>
        <v>-0.00023947405159602305</v>
      </c>
      <c r="K218" s="94">
        <f>Model!K93</f>
        <v>-0.00045634658247206044</v>
      </c>
      <c r="L218" s="94">
        <f>Model!L93</f>
        <v>-0.0004899080350144498</v>
      </c>
      <c r="M218" s="94">
        <f>Model!M93</f>
        <v>-0.0006013623863041876</v>
      </c>
      <c r="N218" s="94">
        <f>Model!N93</f>
        <v>-0.0005612786526744485</v>
      </c>
      <c r="O218" s="94">
        <f>Model!O93</f>
        <v>0.003961058474611904</v>
      </c>
      <c r="P218" s="94">
        <f>Model!P93</f>
        <v>-0.04653788659604704</v>
      </c>
      <c r="Q218" s="94">
        <f>Model!Q93</f>
        <v>-0.007288167324877917</v>
      </c>
      <c r="R218" s="94">
        <f>Model!R93</f>
        <v>0.8666353071094917</v>
      </c>
      <c r="S218" s="94">
        <f>Model!S93</f>
        <v>-2.309466123596454</v>
      </c>
      <c r="T218" s="94">
        <f>Model!T93</f>
        <v>1</v>
      </c>
      <c r="U218" s="94">
        <f>Model!U93</f>
        <v>0</v>
      </c>
    </row>
    <row r="219" spans="1:21" ht="12.75">
      <c r="A219" s="95">
        <f t="shared" si="51"/>
        <v>20</v>
      </c>
      <c r="B219" s="94">
        <f>Model!B94</f>
        <v>-1.7371354769899927</v>
      </c>
      <c r="C219" s="94">
        <f>Model!C94</f>
        <v>3.045816318216515</v>
      </c>
      <c r="D219" s="94">
        <f>Model!D94</f>
        <v>0.21531892966997748</v>
      </c>
      <c r="E219" s="94">
        <f>Model!E94</f>
        <v>0.09988051760108897</v>
      </c>
      <c r="F219" s="94">
        <f>Model!F94</f>
        <v>0.006904557248312329</v>
      </c>
      <c r="G219" s="94">
        <f>Model!G94</f>
        <v>-0.0010144785439209032</v>
      </c>
      <c r="H219" s="94">
        <f>Model!H94</f>
        <v>0.00036985654497008415</v>
      </c>
      <c r="I219" s="94">
        <f>Model!I94</f>
        <v>-0.004999365539094188</v>
      </c>
      <c r="J219" s="94">
        <f>Model!J94</f>
        <v>-0.00271221167311611</v>
      </c>
      <c r="K219" s="94">
        <f>Model!K94</f>
        <v>-0.005167904362536312</v>
      </c>
      <c r="L219" s="94">
        <f>Model!L94</f>
        <v>-0.005569631491065307</v>
      </c>
      <c r="M219" s="94">
        <f>Model!M94</f>
        <v>-0.0070221581859399185</v>
      </c>
      <c r="N219" s="94">
        <f>Model!N94</f>
        <v>-0.008374210079394062</v>
      </c>
      <c r="O219" s="94">
        <f>Model!O94</f>
        <v>-0.006761587893858437</v>
      </c>
      <c r="P219" s="94">
        <f>Model!P94</f>
        <v>-0.034377754721336126</v>
      </c>
      <c r="Q219" s="94">
        <f>Model!Q94</f>
        <v>-0.0019904863957520467</v>
      </c>
      <c r="R219" s="94">
        <f>Model!R94</f>
        <v>-0.1724242886281361</v>
      </c>
      <c r="S219" s="94">
        <f>Model!S94</f>
        <v>1.3094661235964542</v>
      </c>
      <c r="T219" s="94">
        <f>Model!T94</f>
        <v>-1</v>
      </c>
      <c r="U219" s="94">
        <f>Model!U94</f>
        <v>1</v>
      </c>
    </row>
    <row r="228" ht="12.75">
      <c r="B228" s="94" t="s">
        <v>19</v>
      </c>
    </row>
    <row r="229" spans="2:21" ht="12.75">
      <c r="B229" s="95">
        <v>1</v>
      </c>
      <c r="C229" s="95">
        <f aca="true" t="shared" si="52" ref="C229:U229">B229+1</f>
        <v>2</v>
      </c>
      <c r="D229" s="95">
        <f t="shared" si="52"/>
        <v>3</v>
      </c>
      <c r="E229" s="95">
        <f t="shared" si="52"/>
        <v>4</v>
      </c>
      <c r="F229" s="95">
        <f t="shared" si="52"/>
        <v>5</v>
      </c>
      <c r="G229" s="95">
        <f t="shared" si="52"/>
        <v>6</v>
      </c>
      <c r="H229" s="95">
        <f t="shared" si="52"/>
        <v>7</v>
      </c>
      <c r="I229" s="95">
        <f t="shared" si="52"/>
        <v>8</v>
      </c>
      <c r="J229" s="95">
        <f t="shared" si="52"/>
        <v>9</v>
      </c>
      <c r="K229" s="95">
        <f t="shared" si="52"/>
        <v>10</v>
      </c>
      <c r="L229" s="95">
        <f t="shared" si="52"/>
        <v>11</v>
      </c>
      <c r="M229" s="95">
        <f t="shared" si="52"/>
        <v>12</v>
      </c>
      <c r="N229" s="95">
        <f t="shared" si="52"/>
        <v>13</v>
      </c>
      <c r="O229" s="95">
        <f t="shared" si="52"/>
        <v>14</v>
      </c>
      <c r="P229" s="95">
        <f t="shared" si="52"/>
        <v>15</v>
      </c>
      <c r="Q229" s="95">
        <f t="shared" si="52"/>
        <v>16</v>
      </c>
      <c r="R229" s="95">
        <f t="shared" si="52"/>
        <v>17</v>
      </c>
      <c r="S229" s="95">
        <f t="shared" si="52"/>
        <v>18</v>
      </c>
      <c r="T229" s="95">
        <f t="shared" si="52"/>
        <v>19</v>
      </c>
      <c r="U229" s="95">
        <f t="shared" si="52"/>
        <v>20</v>
      </c>
    </row>
    <row r="230" spans="1:21" ht="12.75">
      <c r="A230" s="95">
        <v>1</v>
      </c>
      <c r="B230" s="94">
        <f>Model!B135</f>
        <v>1.0000000000000004</v>
      </c>
      <c r="C230" s="94">
        <f>Model!C135</f>
        <v>-2.395983841481716E-16</v>
      </c>
      <c r="D230" s="94">
        <f>Model!D135</f>
        <v>1.348999305708193E-16</v>
      </c>
      <c r="E230" s="94">
        <f>Model!E135</f>
        <v>-1.37920078270166E-16</v>
      </c>
      <c r="F230" s="94">
        <f>Model!F135</f>
        <v>-9.664472637909443E-17</v>
      </c>
      <c r="G230" s="94">
        <f>Model!G135</f>
        <v>6.845668118519188E-17</v>
      </c>
      <c r="H230" s="94">
        <f>Model!H135</f>
        <v>-3.322162469281371E-17</v>
      </c>
      <c r="I230" s="94">
        <f>Model!I135</f>
        <v>4.2282067790853814E-17</v>
      </c>
      <c r="J230" s="94">
        <f>Model!J135</f>
        <v>-5.0335794989111685E-18</v>
      </c>
      <c r="K230" s="94">
        <f>Model!K135</f>
        <v>-2.184573502527447E-16</v>
      </c>
      <c r="L230" s="94">
        <f>Model!L135</f>
        <v>-6.946339708497412E-17</v>
      </c>
      <c r="M230" s="94">
        <f>Model!M135</f>
        <v>-1.6208125986493963E-16</v>
      </c>
      <c r="N230" s="94">
        <f>Model!N135</f>
        <v>-9.765144227887666E-17</v>
      </c>
      <c r="O230" s="94">
        <f>Model!O135</f>
        <v>-7.550369248366752E-19</v>
      </c>
      <c r="P230" s="94">
        <f>Model!P135</f>
        <v>0</v>
      </c>
      <c r="Q230" s="94">
        <f>Model!Q135</f>
        <v>0</v>
      </c>
      <c r="R230" s="94">
        <f>Model!R135</f>
        <v>-9.193044730736922E-17</v>
      </c>
      <c r="S230" s="94">
        <f>Model!S135</f>
        <v>0</v>
      </c>
      <c r="T230" s="94">
        <f>Model!T135</f>
        <v>0</v>
      </c>
      <c r="U230" s="94">
        <f>Model!U135</f>
        <v>0</v>
      </c>
    </row>
    <row r="231" spans="1:21" ht="12.75">
      <c r="A231" s="95">
        <f aca="true" t="shared" si="53" ref="A231:A249">A230+1</f>
        <v>2</v>
      </c>
      <c r="B231" s="94">
        <f>Model!B136</f>
        <v>-0.32059578207201417</v>
      </c>
      <c r="C231" s="94">
        <f>Model!C136</f>
        <v>1.0000000000000013</v>
      </c>
      <c r="D231" s="94">
        <f>Model!D136</f>
        <v>-6.933710423682266E-17</v>
      </c>
      <c r="E231" s="94">
        <f>Model!E136</f>
        <v>8.251454737481586E-17</v>
      </c>
      <c r="F231" s="94">
        <f>Model!F136</f>
        <v>1.5372257034506895E-16</v>
      </c>
      <c r="G231" s="94">
        <f>Model!G136</f>
        <v>2.3448848125661324E-16</v>
      </c>
      <c r="H231" s="94">
        <f>Model!H136</f>
        <v>2.0407229508297598E-16</v>
      </c>
      <c r="I231" s="94">
        <f>Model!I136</f>
        <v>8.164481472831104E-17</v>
      </c>
      <c r="J231" s="94">
        <f>Model!J136</f>
        <v>2.343692560432084E-16</v>
      </c>
      <c r="K231" s="94">
        <f>Model!K136</f>
        <v>3.730572212722465E-16</v>
      </c>
      <c r="L231" s="94">
        <f>Model!L136</f>
        <v>4.272848225025661E-17</v>
      </c>
      <c r="M231" s="94">
        <f>Model!M136</f>
        <v>2.2274174067947857E-16</v>
      </c>
      <c r="N231" s="94">
        <f>Model!N136</f>
        <v>4.2153755580510014E-17</v>
      </c>
      <c r="O231" s="94">
        <f>Model!O136</f>
        <v>-2.5781306002522562E-17</v>
      </c>
      <c r="P231" s="94">
        <f>Model!P136</f>
        <v>0</v>
      </c>
      <c r="Q231" s="94">
        <f>Model!Q136</f>
        <v>0</v>
      </c>
      <c r="R231" s="94">
        <f>Model!R136</f>
        <v>2.947251365073624E-17</v>
      </c>
      <c r="S231" s="94">
        <f>Model!S136</f>
        <v>0</v>
      </c>
      <c r="T231" s="94">
        <f>Model!T136</f>
        <v>0</v>
      </c>
      <c r="U231" s="94">
        <f>Model!U136</f>
        <v>0</v>
      </c>
    </row>
    <row r="232" spans="1:21" ht="12.75">
      <c r="A232" s="95">
        <f t="shared" si="53"/>
        <v>3</v>
      </c>
      <c r="B232" s="94">
        <f>Model!B137</f>
        <v>0.00404699691217208</v>
      </c>
      <c r="C232" s="94">
        <f>Model!C137</f>
        <v>-0.5112771528707657</v>
      </c>
      <c r="D232" s="94">
        <f>Model!D137</f>
        <v>1.0000000000000002</v>
      </c>
      <c r="E232" s="94">
        <f>Model!E137</f>
        <v>3.742642497108752E-16</v>
      </c>
      <c r="F232" s="94">
        <f>Model!F137</f>
        <v>-4.121667982156879E-16</v>
      </c>
      <c r="G232" s="94">
        <f>Model!G137</f>
        <v>-1.0873592231965998E-16</v>
      </c>
      <c r="H232" s="94">
        <f>Model!H137</f>
        <v>1.3684657569233578E-16</v>
      </c>
      <c r="I232" s="94">
        <f>Model!I137</f>
        <v>1.551842778400521E-16</v>
      </c>
      <c r="J232" s="94">
        <f>Model!J137</f>
        <v>1.5558420476935261E-16</v>
      </c>
      <c r="K232" s="94">
        <f>Model!K137</f>
        <v>-3.5036966812445694E-16</v>
      </c>
      <c r="L232" s="94">
        <f>Model!L137</f>
        <v>2.5334108044042577E-16</v>
      </c>
      <c r="M232" s="94">
        <f>Model!M137</f>
        <v>-1.1080291308057107E-16</v>
      </c>
      <c r="N232" s="94">
        <f>Model!N137</f>
        <v>-4.498125515343181E-18</v>
      </c>
      <c r="O232" s="94">
        <f>Model!O137</f>
        <v>1.3809055893031791E-17</v>
      </c>
      <c r="P232" s="94">
        <f>Model!P137</f>
        <v>0</v>
      </c>
      <c r="Q232" s="94">
        <f>Model!Q137</f>
        <v>0</v>
      </c>
      <c r="R232" s="94">
        <f>Model!R137</f>
        <v>-3.720422363875383E-19</v>
      </c>
      <c r="S232" s="94">
        <f>Model!S137</f>
        <v>0</v>
      </c>
      <c r="T232" s="94">
        <f>Model!T137</f>
        <v>0</v>
      </c>
      <c r="U232" s="94">
        <f>Model!U137</f>
        <v>0</v>
      </c>
    </row>
    <row r="233" spans="1:21" ht="12.75">
      <c r="A233" s="95">
        <f t="shared" si="53"/>
        <v>4</v>
      </c>
      <c r="B233" s="94">
        <f>Model!B138</f>
        <v>0.007317595185835851</v>
      </c>
      <c r="C233" s="94">
        <f>Model!C138</f>
        <v>0.16662829569467164</v>
      </c>
      <c r="D233" s="94">
        <f>Model!D138</f>
        <v>-0.8840564524782581</v>
      </c>
      <c r="E233" s="94">
        <f>Model!E138</f>
        <v>0.9999999999999992</v>
      </c>
      <c r="F233" s="94">
        <f>Model!F138</f>
        <v>1.231622209569013E-16</v>
      </c>
      <c r="G233" s="94">
        <f>Model!G138</f>
        <v>-4.940637603500859E-17</v>
      </c>
      <c r="H233" s="94">
        <f>Model!H138</f>
        <v>-1.4266156726672275E-17</v>
      </c>
      <c r="I233" s="94">
        <f>Model!I138</f>
        <v>-1.1004835449853755E-16</v>
      </c>
      <c r="J233" s="94">
        <f>Model!J138</f>
        <v>-2.252001500781627E-16</v>
      </c>
      <c r="K233" s="94">
        <f>Model!K138</f>
        <v>2.184408709707658E-16</v>
      </c>
      <c r="L233" s="94">
        <f>Model!L138</f>
        <v>-2.315454696789823E-16</v>
      </c>
      <c r="M233" s="94">
        <f>Model!M138</f>
        <v>4.760534325639232E-17</v>
      </c>
      <c r="N233" s="94">
        <f>Model!N138</f>
        <v>-5.622435089333811E-19</v>
      </c>
      <c r="O233" s="94">
        <f>Model!O138</f>
        <v>-4.84857795203814E-18</v>
      </c>
      <c r="P233" s="94">
        <f>Model!P138</f>
        <v>0</v>
      </c>
      <c r="Q233" s="94">
        <f>Model!Q138</f>
        <v>0</v>
      </c>
      <c r="R233" s="94">
        <f>Model!R138</f>
        <v>-6.727097986481876E-19</v>
      </c>
      <c r="S233" s="94">
        <f>Model!S138</f>
        <v>0</v>
      </c>
      <c r="T233" s="94">
        <f>Model!T138</f>
        <v>0</v>
      </c>
      <c r="U233" s="94">
        <f>Model!U138</f>
        <v>0</v>
      </c>
    </row>
    <row r="234" spans="1:21" ht="12.75">
      <c r="A234" s="95">
        <f t="shared" si="53"/>
        <v>5</v>
      </c>
      <c r="B234" s="94">
        <f>Model!B139</f>
        <v>-0.03782383579655968</v>
      </c>
      <c r="C234" s="94">
        <f>Model!C139</f>
        <v>-0.761914781465208</v>
      </c>
      <c r="D234" s="94">
        <f>Model!D139</f>
        <v>4.774818443760577</v>
      </c>
      <c r="E234" s="94">
        <f>Model!E139</f>
        <v>-6.970812351883175</v>
      </c>
      <c r="F234" s="94">
        <f>Model!F139</f>
        <v>0.9999999999999997</v>
      </c>
      <c r="G234" s="94">
        <f>Model!G139</f>
        <v>5.309996507761076E-16</v>
      </c>
      <c r="H234" s="94">
        <f>Model!H139</f>
        <v>-1.326816608108937E-16</v>
      </c>
      <c r="I234" s="94">
        <f>Model!I139</f>
        <v>5.206253645398648E-16</v>
      </c>
      <c r="J234" s="94">
        <f>Model!J139</f>
        <v>1.2806783351109103E-15</v>
      </c>
      <c r="K234" s="94">
        <f>Model!K139</f>
        <v>-1.1348923127384468E-15</v>
      </c>
      <c r="L234" s="94">
        <f>Model!L139</f>
        <v>1.2547426195203036E-15</v>
      </c>
      <c r="M234" s="94">
        <f>Model!M139</f>
        <v>-2.3424046291305926E-16</v>
      </c>
      <c r="N234" s="94">
        <f>Model!N139</f>
        <v>4.914135585588656E-18</v>
      </c>
      <c r="O234" s="94">
        <f>Model!O139</f>
        <v>2.265962520021436E-17</v>
      </c>
      <c r="P234" s="94">
        <f>Model!P139</f>
        <v>0</v>
      </c>
      <c r="Q234" s="94">
        <f>Model!Q139</f>
        <v>0</v>
      </c>
      <c r="R234" s="94">
        <f>Model!R139</f>
        <v>3.477162143658523E-18</v>
      </c>
      <c r="S234" s="94">
        <f>Model!S139</f>
        <v>0</v>
      </c>
      <c r="T234" s="94">
        <f>Model!T139</f>
        <v>0</v>
      </c>
      <c r="U234" s="94">
        <f>Model!U139</f>
        <v>0</v>
      </c>
    </row>
    <row r="235" spans="1:21" ht="12.75">
      <c r="A235" s="95">
        <f t="shared" si="53"/>
        <v>6</v>
      </c>
      <c r="B235" s="94">
        <f>Model!B140</f>
        <v>0.27500512597349885</v>
      </c>
      <c r="C235" s="94">
        <f>Model!C140</f>
        <v>7.4146143525882895</v>
      </c>
      <c r="D235" s="94">
        <f>Model!D140</f>
        <v>-32.81936315832847</v>
      </c>
      <c r="E235" s="94">
        <f>Model!E140</f>
        <v>27.33833218395914</v>
      </c>
      <c r="F235" s="94">
        <f>Model!F140</f>
        <v>3.685379851028418</v>
      </c>
      <c r="G235" s="94">
        <f>Model!G140</f>
        <v>0.9999999999999996</v>
      </c>
      <c r="H235" s="94">
        <f>Model!H140</f>
        <v>-1.8041048620094596E-15</v>
      </c>
      <c r="I235" s="94">
        <f>Model!I140</f>
        <v>-4.414500363527735E-15</v>
      </c>
      <c r="J235" s="94">
        <f>Model!J140</f>
        <v>-7.87138281209632E-15</v>
      </c>
      <c r="K235" s="94">
        <f>Model!K140</f>
        <v>8.502701289365684E-15</v>
      </c>
      <c r="L235" s="94">
        <f>Model!L140</f>
        <v>-8.561813506338472E-15</v>
      </c>
      <c r="M235" s="94">
        <f>Model!M140</f>
        <v>1.9743480468910863E-15</v>
      </c>
      <c r="N235" s="94">
        <f>Model!N140</f>
        <v>-4.7289773578229614E-18</v>
      </c>
      <c r="O235" s="94">
        <f>Model!O140</f>
        <v>-2.1162173676257752E-16</v>
      </c>
      <c r="P235" s="94">
        <f>Model!P140</f>
        <v>0</v>
      </c>
      <c r="Q235" s="94">
        <f>Model!Q140</f>
        <v>0</v>
      </c>
      <c r="R235" s="94">
        <f>Model!R140</f>
        <v>-2.5281344242564505E-17</v>
      </c>
      <c r="S235" s="94">
        <f>Model!S140</f>
        <v>0</v>
      </c>
      <c r="T235" s="94">
        <f>Model!T140</f>
        <v>0</v>
      </c>
      <c r="U235" s="94">
        <f>Model!U140</f>
        <v>0</v>
      </c>
    </row>
    <row r="236" spans="1:21" ht="12.75">
      <c r="A236" s="95">
        <f t="shared" si="53"/>
        <v>7</v>
      </c>
      <c r="B236" s="94">
        <f>Model!B141</f>
        <v>0.1753981592302462</v>
      </c>
      <c r="C236" s="94">
        <f>Model!C141</f>
        <v>19.23851518953627</v>
      </c>
      <c r="D236" s="94">
        <f>Model!D141</f>
        <v>-48.552800969140804</v>
      </c>
      <c r="E236" s="94">
        <f>Model!E141</f>
        <v>9.304569629135887</v>
      </c>
      <c r="F236" s="94">
        <f>Model!F141</f>
        <v>4.09739673690086</v>
      </c>
      <c r="G236" s="94">
        <f>Model!G141</f>
        <v>2.291361139856955</v>
      </c>
      <c r="H236" s="94">
        <f>Model!H141</f>
        <v>0.9999999999999939</v>
      </c>
      <c r="I236" s="94">
        <f>Model!I141</f>
        <v>-7.42223114354296E-15</v>
      </c>
      <c r="J236" s="94">
        <f>Model!J141</f>
        <v>-9.059488013442141E-15</v>
      </c>
      <c r="K236" s="94">
        <f>Model!K141</f>
        <v>1.5210895967491927E-14</v>
      </c>
      <c r="L236" s="94">
        <f>Model!L141</f>
        <v>-1.2450948672519019E-14</v>
      </c>
      <c r="M236" s="94">
        <f>Model!M141</f>
        <v>4.3660183197311525E-15</v>
      </c>
      <c r="N236" s="94">
        <f>Model!N141</f>
        <v>1.16946919278513E-16</v>
      </c>
      <c r="O236" s="94">
        <f>Model!O141</f>
        <v>-5.262611367533085E-16</v>
      </c>
      <c r="P236" s="94">
        <f>Model!P141</f>
        <v>0</v>
      </c>
      <c r="Q236" s="94">
        <f>Model!Q141</f>
        <v>0</v>
      </c>
      <c r="R236" s="94">
        <f>Model!R141</f>
        <v>-1.612443123492585E-17</v>
      </c>
      <c r="S236" s="94">
        <f>Model!S141</f>
        <v>0</v>
      </c>
      <c r="T236" s="94">
        <f>Model!T141</f>
        <v>0</v>
      </c>
      <c r="U236" s="94">
        <f>Model!U141</f>
        <v>0</v>
      </c>
    </row>
    <row r="237" spans="1:21" ht="12.75">
      <c r="A237" s="95">
        <f t="shared" si="53"/>
        <v>8</v>
      </c>
      <c r="B237" s="94">
        <f>Model!B142</f>
        <v>0.9121452386064433</v>
      </c>
      <c r="C237" s="94">
        <f>Model!C142</f>
        <v>-20.143469029391426</v>
      </c>
      <c r="D237" s="94">
        <f>Model!D142</f>
        <v>25.010819733795973</v>
      </c>
      <c r="E237" s="94">
        <f>Model!E142</f>
        <v>6.051628110428172</v>
      </c>
      <c r="F237" s="94">
        <f>Model!F142</f>
        <v>3.979972824936695</v>
      </c>
      <c r="G237" s="94">
        <f>Model!G142</f>
        <v>3.009728513887718</v>
      </c>
      <c r="H237" s="94">
        <f>Model!H142</f>
        <v>2.128378326200141</v>
      </c>
      <c r="I237" s="94">
        <f>Model!I142</f>
        <v>1.0000000000000038</v>
      </c>
      <c r="J237" s="94">
        <f>Model!J142</f>
        <v>2.0376304898472823E-15</v>
      </c>
      <c r="K237" s="94">
        <f>Model!K142</f>
        <v>-1.1189601525212491E-14</v>
      </c>
      <c r="L237" s="94">
        <f>Model!L142</f>
        <v>6.121574554015628E-15</v>
      </c>
      <c r="M237" s="94">
        <f>Model!M142</f>
        <v>-4.159197462941115E-15</v>
      </c>
      <c r="N237" s="94">
        <f>Model!N142</f>
        <v>-2.749643416697327E-16</v>
      </c>
      <c r="O237" s="94">
        <f>Model!O142</f>
        <v>5.354568758831637E-16</v>
      </c>
      <c r="P237" s="94">
        <f>Model!P142</f>
        <v>0</v>
      </c>
      <c r="Q237" s="94">
        <f>Model!Q142</f>
        <v>0</v>
      </c>
      <c r="R237" s="94">
        <f>Model!R142</f>
        <v>-8.385391979437886E-17</v>
      </c>
      <c r="S237" s="94">
        <f>Model!S142</f>
        <v>0</v>
      </c>
      <c r="T237" s="94">
        <f>Model!T142</f>
        <v>0</v>
      </c>
      <c r="U237" s="94">
        <f>Model!U142</f>
        <v>0</v>
      </c>
    </row>
    <row r="238" spans="1:21" ht="12.75">
      <c r="A238" s="95">
        <f t="shared" si="53"/>
        <v>9</v>
      </c>
      <c r="B238" s="94">
        <f>Model!B143</f>
        <v>2.7797564195419215</v>
      </c>
      <c r="C238" s="94">
        <f>Model!C143</f>
        <v>-19.135949733838597</v>
      </c>
      <c r="D238" s="94">
        <f>Model!D143</f>
        <v>8.825261339760102</v>
      </c>
      <c r="E238" s="94">
        <f>Model!E143</f>
        <v>4.482903471039159</v>
      </c>
      <c r="F238" s="94">
        <f>Model!F143</f>
        <v>3.5534964214001743</v>
      </c>
      <c r="G238" s="94">
        <f>Model!G143</f>
        <v>3.1044473337219043</v>
      </c>
      <c r="H238" s="94">
        <f>Model!H143</f>
        <v>2.669140865363505</v>
      </c>
      <c r="I238" s="94">
        <f>Model!I143</f>
        <v>1.9475294312545337</v>
      </c>
      <c r="J238" s="94">
        <f>Model!J143</f>
        <v>0.9999999999999979</v>
      </c>
      <c r="K238" s="94">
        <f>Model!K143</f>
        <v>-8.140506527646128E-15</v>
      </c>
      <c r="L238" s="94">
        <f>Model!L143</f>
        <v>1.7399022535484E-15</v>
      </c>
      <c r="M238" s="94">
        <f>Model!M143</f>
        <v>-3.920020739922299E-15</v>
      </c>
      <c r="N238" s="94">
        <f>Model!N143</f>
        <v>-4.681664698302924E-16</v>
      </c>
      <c r="O238" s="94">
        <f>Model!O143</f>
        <v>4.996104864606852E-16</v>
      </c>
      <c r="P238" s="94">
        <f>Model!P143</f>
        <v>0</v>
      </c>
      <c r="Q238" s="94">
        <f>Model!Q143</f>
        <v>0</v>
      </c>
      <c r="R238" s="94">
        <f>Model!R143</f>
        <v>-2.55544251054022E-16</v>
      </c>
      <c r="S238" s="94">
        <f>Model!S143</f>
        <v>0</v>
      </c>
      <c r="T238" s="94">
        <f>Model!T143</f>
        <v>0</v>
      </c>
      <c r="U238" s="94">
        <f>Model!U143</f>
        <v>0</v>
      </c>
    </row>
    <row r="239" spans="1:21" ht="12.75">
      <c r="A239" s="95">
        <f t="shared" si="53"/>
        <v>10</v>
      </c>
      <c r="B239" s="94">
        <f>Model!B144</f>
        <v>-186.79051064659137</v>
      </c>
      <c r="C239" s="94">
        <f>Model!C144</f>
        <v>570.4253794506791</v>
      </c>
      <c r="D239" s="94">
        <f>Model!D144</f>
        <v>5.927201916974983</v>
      </c>
      <c r="E239" s="94">
        <f>Model!E144</f>
        <v>3.966931766130615</v>
      </c>
      <c r="F239" s="94">
        <f>Model!F144</f>
        <v>3.4613858773043074</v>
      </c>
      <c r="G239" s="94">
        <f>Model!G144</f>
        <v>3.25073885920276</v>
      </c>
      <c r="H239" s="94">
        <f>Model!H144</f>
        <v>3.0628700556079416</v>
      </c>
      <c r="I239" s="94">
        <f>Model!I144</f>
        <v>2.6707776778022407</v>
      </c>
      <c r="J239" s="94">
        <f>Model!J144</f>
        <v>2.035599152770396</v>
      </c>
      <c r="K239" s="94">
        <f>Model!K144</f>
        <v>1.000000000000213</v>
      </c>
      <c r="L239" s="94">
        <f>Model!L144</f>
        <v>2.6504486669961417E-14</v>
      </c>
      <c r="M239" s="94">
        <f>Model!M144</f>
        <v>1.2755284209918933E-13</v>
      </c>
      <c r="N239" s="94">
        <f>Model!N144</f>
        <v>2.443382364887068E-14</v>
      </c>
      <c r="O239" s="94">
        <f>Model!O144</f>
        <v>-1.4701707449744223E-14</v>
      </c>
      <c r="P239" s="94">
        <f>Model!P144</f>
        <v>0</v>
      </c>
      <c r="Q239" s="94">
        <f>Model!Q144</f>
        <v>0</v>
      </c>
      <c r="R239" s="94">
        <f>Model!R144</f>
        <v>1.7171735196513122E-14</v>
      </c>
      <c r="S239" s="94">
        <f>Model!S144</f>
        <v>0</v>
      </c>
      <c r="T239" s="94">
        <f>Model!T144</f>
        <v>0</v>
      </c>
      <c r="U239" s="94">
        <f>Model!U144</f>
        <v>0</v>
      </c>
    </row>
    <row r="240" spans="1:21" ht="12.75">
      <c r="A240" s="95">
        <f t="shared" si="53"/>
        <v>11</v>
      </c>
      <c r="B240" s="94">
        <f>Model!B145</f>
        <v>-10.153495208907199</v>
      </c>
      <c r="C240" s="94">
        <f>Model!C145</f>
        <v>14.05822769515103</v>
      </c>
      <c r="D240" s="94">
        <f>Model!D145</f>
        <v>4.48365087329961</v>
      </c>
      <c r="E240" s="94">
        <f>Model!E145</f>
        <v>3.4726323583379854</v>
      </c>
      <c r="F240" s="94">
        <f>Model!F145</f>
        <v>3.20097609890322</v>
      </c>
      <c r="G240" s="94">
        <f>Model!G145</f>
        <v>3.1237683975087918</v>
      </c>
      <c r="H240" s="94">
        <f>Model!H145</f>
        <v>3.0834874907259744</v>
      </c>
      <c r="I240" s="94">
        <f>Model!I145</f>
        <v>2.9385013011165615</v>
      </c>
      <c r="J240" s="94">
        <f>Model!J145</f>
        <v>2.6386672035781333</v>
      </c>
      <c r="K240" s="94">
        <f>Model!K145</f>
        <v>1.9765497556528997</v>
      </c>
      <c r="L240" s="94">
        <f>Model!L145</f>
        <v>1.0000000000000027</v>
      </c>
      <c r="M240" s="94">
        <f>Model!M145</f>
        <v>3.938884952666832E-15</v>
      </c>
      <c r="N240" s="94">
        <f>Model!N145</f>
        <v>1.1463918892090036E-15</v>
      </c>
      <c r="O240" s="94">
        <f>Model!O145</f>
        <v>-3.5763507654810795E-16</v>
      </c>
      <c r="P240" s="94">
        <f>Model!P145</f>
        <v>0</v>
      </c>
      <c r="Q240" s="94">
        <f>Model!Q145</f>
        <v>0</v>
      </c>
      <c r="R240" s="94">
        <f>Model!R145</f>
        <v>9.334153562880704E-16</v>
      </c>
      <c r="S240" s="94">
        <f>Model!S145</f>
        <v>0</v>
      </c>
      <c r="T240" s="94">
        <f>Model!T145</f>
        <v>0</v>
      </c>
      <c r="U240" s="94">
        <f>Model!U145</f>
        <v>0</v>
      </c>
    </row>
    <row r="241" spans="1:21" ht="12.75">
      <c r="A241" s="95">
        <f t="shared" si="53"/>
        <v>12</v>
      </c>
      <c r="B241" s="94">
        <f>Model!B146</f>
        <v>-13.90181759059798</v>
      </c>
      <c r="C241" s="94">
        <f>Model!C146</f>
        <v>7.277135661343943</v>
      </c>
      <c r="D241" s="94">
        <f>Model!D146</f>
        <v>3.791149010727235</v>
      </c>
      <c r="E241" s="94">
        <f>Model!E146</f>
        <v>3.1953135106006587</v>
      </c>
      <c r="F241" s="94">
        <f>Model!F146</f>
        <v>3.039022266690314</v>
      </c>
      <c r="G241" s="94">
        <f>Model!G146</f>
        <v>3.0224845971534537</v>
      </c>
      <c r="H241" s="94">
        <f>Model!H146</f>
        <v>3.0490137990996167</v>
      </c>
      <c r="I241" s="94">
        <f>Model!I146</f>
        <v>3.034961031305956</v>
      </c>
      <c r="J241" s="94">
        <f>Model!J146</f>
        <v>2.943830794848826</v>
      </c>
      <c r="K241" s="94">
        <f>Model!K146</f>
        <v>2.614635492183873</v>
      </c>
      <c r="L241" s="94">
        <f>Model!L146</f>
        <v>1.9853530983508798</v>
      </c>
      <c r="M241" s="94">
        <f>Model!M146</f>
        <v>1.0000000000000033</v>
      </c>
      <c r="N241" s="94">
        <f>Model!N146</f>
        <v>1.4396119655984845E-15</v>
      </c>
      <c r="O241" s="94">
        <f>Model!O146</f>
        <v>-1.7995149569981056E-16</v>
      </c>
      <c r="P241" s="94">
        <f>Model!P146</f>
        <v>0</v>
      </c>
      <c r="Q241" s="94">
        <f>Model!Q146</f>
        <v>0</v>
      </c>
      <c r="R241" s="94">
        <f>Model!R146</f>
        <v>1.2780003094891262E-15</v>
      </c>
      <c r="S241" s="94">
        <f>Model!S146</f>
        <v>0</v>
      </c>
      <c r="T241" s="94">
        <f>Model!T146</f>
        <v>0</v>
      </c>
      <c r="U241" s="94">
        <f>Model!U146</f>
        <v>0</v>
      </c>
    </row>
    <row r="242" spans="1:21" ht="12.75">
      <c r="A242" s="95">
        <f t="shared" si="53"/>
        <v>13</v>
      </c>
      <c r="B242" s="94">
        <f>Model!B147</f>
        <v>-223.45892417590156</v>
      </c>
      <c r="C242" s="94">
        <f>Model!C147</f>
        <v>5.119797965669029</v>
      </c>
      <c r="D242" s="94">
        <f>Model!D147</f>
        <v>3.3662087827038554</v>
      </c>
      <c r="E242" s="94">
        <f>Model!E147</f>
        <v>2.9908122059715407</v>
      </c>
      <c r="F242" s="94">
        <f>Model!F147</f>
        <v>2.8971559272105645</v>
      </c>
      <c r="G242" s="94">
        <f>Model!G147</f>
        <v>2.906217635399951</v>
      </c>
      <c r="H242" s="94">
        <f>Model!H147</f>
        <v>2.956976323869354</v>
      </c>
      <c r="I242" s="94">
        <f>Model!I147</f>
        <v>3.0024264749636917</v>
      </c>
      <c r="J242" s="94">
        <f>Model!J147</f>
        <v>3.021298789171957</v>
      </c>
      <c r="K242" s="94">
        <f>Model!K147</f>
        <v>2.9109204537879547</v>
      </c>
      <c r="L242" s="94">
        <f>Model!L147</f>
        <v>2.606658832429585</v>
      </c>
      <c r="M242" s="94">
        <f>Model!M147</f>
        <v>1.9756821974832584</v>
      </c>
      <c r="N242" s="94">
        <f>Model!N147</f>
        <v>1.000000000000022</v>
      </c>
      <c r="O242" s="94">
        <f>Model!O147</f>
        <v>0</v>
      </c>
      <c r="P242" s="94">
        <f>Model!P147</f>
        <v>0</v>
      </c>
      <c r="Q242" s="94">
        <f>Model!Q147</f>
        <v>0</v>
      </c>
      <c r="R242" s="94">
        <f>Model!R147</f>
        <v>2.0542678854314118E-14</v>
      </c>
      <c r="S242" s="94">
        <f>Model!S147</f>
        <v>0</v>
      </c>
      <c r="T242" s="94">
        <f>Model!T147</f>
        <v>0</v>
      </c>
      <c r="U242" s="94">
        <f>Model!U147</f>
        <v>0</v>
      </c>
    </row>
    <row r="243" spans="1:21" ht="12.75">
      <c r="A243" s="95">
        <f t="shared" si="53"/>
        <v>14</v>
      </c>
      <c r="B243" s="94">
        <f>Model!B148</f>
        <v>14.34569199044502</v>
      </c>
      <c r="C243" s="94">
        <f>Model!C148</f>
        <v>4.139953937982368</v>
      </c>
      <c r="D243" s="94">
        <f>Model!D148</f>
        <v>3.1108069031793777</v>
      </c>
      <c r="E243" s="94">
        <f>Model!E148</f>
        <v>2.8604398885774773</v>
      </c>
      <c r="F243" s="94">
        <f>Model!F148</f>
        <v>2.8012897856193657</v>
      </c>
      <c r="G243" s="94">
        <f>Model!G148</f>
        <v>2.8189101910652274</v>
      </c>
      <c r="H243" s="94">
        <f>Model!H148</f>
        <v>2.8732567815153427</v>
      </c>
      <c r="I243" s="94">
        <f>Model!I148</f>
        <v>2.9383599303535513</v>
      </c>
      <c r="J243" s="94">
        <f>Model!J148</f>
        <v>3.003513043612732</v>
      </c>
      <c r="K243" s="94">
        <f>Model!K148</f>
        <v>3.0092490092646162</v>
      </c>
      <c r="L243" s="94">
        <f>Model!L148</f>
        <v>2.913539454560626</v>
      </c>
      <c r="M243" s="94">
        <f>Model!M148</f>
        <v>2.604965373359588</v>
      </c>
      <c r="N243" s="94">
        <f>Model!N148</f>
        <v>1.9775930393521137</v>
      </c>
      <c r="O243" s="94">
        <f>Model!O148</f>
        <v>0.9999999999999999</v>
      </c>
      <c r="P243" s="94">
        <f>Model!P148</f>
        <v>0</v>
      </c>
      <c r="Q243" s="94">
        <f>Model!Q148</f>
        <v>0</v>
      </c>
      <c r="R243" s="94">
        <f>Model!R148</f>
        <v>-1.3188058816153534E-15</v>
      </c>
      <c r="S243" s="94">
        <f>Model!S148</f>
        <v>0</v>
      </c>
      <c r="T243" s="94">
        <f>Model!T148</f>
        <v>0</v>
      </c>
      <c r="U243" s="94">
        <f>Model!U148</f>
        <v>0</v>
      </c>
    </row>
    <row r="244" spans="1:21" ht="12.75">
      <c r="A244" s="95">
        <f t="shared" si="53"/>
        <v>15</v>
      </c>
      <c r="B244" s="94">
        <f>Model!B149</f>
        <v>7.29648750000773</v>
      </c>
      <c r="C244" s="94">
        <f>Model!C149</f>
        <v>3.6011485366523206</v>
      </c>
      <c r="D244" s="94">
        <f>Model!D149</f>
        <v>2.944448526625878</v>
      </c>
      <c r="E244" s="94">
        <f>Model!E149</f>
        <v>2.771252848416984</v>
      </c>
      <c r="F244" s="94">
        <f>Model!F149</f>
        <v>2.7322390753019574</v>
      </c>
      <c r="G244" s="94">
        <f>Model!G149</f>
        <v>2.7508519524298225</v>
      </c>
      <c r="H244" s="94">
        <f>Model!H149</f>
        <v>2.799980990881669</v>
      </c>
      <c r="I244" s="94">
        <f>Model!I149</f>
        <v>2.865397036578072</v>
      </c>
      <c r="J244" s="94">
        <f>Model!J149</f>
        <v>2.942626372382883</v>
      </c>
      <c r="K244" s="94">
        <f>Model!K149</f>
        <v>2.9995569873175327</v>
      </c>
      <c r="L244" s="94">
        <f>Model!L149</f>
        <v>3.014952224406366</v>
      </c>
      <c r="M244" s="94">
        <f>Model!M149</f>
        <v>2.916420434040907</v>
      </c>
      <c r="N244" s="94">
        <f>Model!N149</f>
        <v>2.6102584594958853</v>
      </c>
      <c r="O244" s="94">
        <f>Model!O149</f>
        <v>1.981313486811743</v>
      </c>
      <c r="P244" s="94">
        <f>Model!P149</f>
        <v>1</v>
      </c>
      <c r="Q244" s="94">
        <f>Model!Q149</f>
        <v>0</v>
      </c>
      <c r="R244" s="94">
        <f>Model!R149</f>
        <v>-6.707693596483382E-16</v>
      </c>
      <c r="S244" s="94">
        <f>Model!S149</f>
        <v>0</v>
      </c>
      <c r="T244" s="94">
        <f>Model!T149</f>
        <v>0</v>
      </c>
      <c r="U244" s="94">
        <f>Model!U149</f>
        <v>0</v>
      </c>
    </row>
    <row r="245" spans="1:21" ht="12.75">
      <c r="A245" s="95">
        <f t="shared" si="53"/>
        <v>16</v>
      </c>
      <c r="B245" s="94">
        <f>Model!B150</f>
        <v>5.151249708713711</v>
      </c>
      <c r="C245" s="94">
        <f>Model!C150</f>
        <v>3.2630164231863983</v>
      </c>
      <c r="D245" s="94">
        <f>Model!D150</f>
        <v>2.822936605817592</v>
      </c>
      <c r="E245" s="94">
        <f>Model!E150</f>
        <v>2.700388809185297</v>
      </c>
      <c r="F245" s="94">
        <f>Model!F150</f>
        <v>2.673762802996245</v>
      </c>
      <c r="G245" s="94">
        <f>Model!G150</f>
        <v>2.6903003168054345</v>
      </c>
      <c r="H245" s="94">
        <f>Model!H150</f>
        <v>2.731203430783391</v>
      </c>
      <c r="I245" s="94">
        <f>Model!I150</f>
        <v>2.788661031623121</v>
      </c>
      <c r="J245" s="94">
        <f>Model!J150</f>
        <v>2.8614736330863946</v>
      </c>
      <c r="K245" s="94">
        <f>Model!K150</f>
        <v>2.9333734882474487</v>
      </c>
      <c r="L245" s="94">
        <f>Model!L150</f>
        <v>2.996636440023769</v>
      </c>
      <c r="M245" s="94">
        <f>Model!M150</f>
        <v>3.0104769256894683</v>
      </c>
      <c r="N245" s="94">
        <f>Model!N150</f>
        <v>2.914136638901745</v>
      </c>
      <c r="O245" s="94">
        <f>Model!O150</f>
        <v>2.608069817066309</v>
      </c>
      <c r="P245" s="94">
        <f>Model!P150</f>
        <v>1.9775360145526264</v>
      </c>
      <c r="Q245" s="94">
        <f>Model!Q150</f>
        <v>1</v>
      </c>
      <c r="R245" s="94">
        <f>Model!R150</f>
        <v>-4.825573063545145E-16</v>
      </c>
      <c r="S245" s="94">
        <f>Model!S150</f>
        <v>0</v>
      </c>
      <c r="T245" s="94">
        <f>Model!T150</f>
        <v>0</v>
      </c>
      <c r="U245" s="94">
        <f>Model!U150</f>
        <v>0</v>
      </c>
    </row>
    <row r="246" spans="1:21" ht="12.75">
      <c r="A246" s="95">
        <f t="shared" si="53"/>
        <v>17</v>
      </c>
      <c r="B246" s="94">
        <f>Model!B151</f>
        <v>4.1677671741322495</v>
      </c>
      <c r="C246" s="94">
        <f>Model!C151</f>
        <v>3.048763010965869</v>
      </c>
      <c r="D246" s="94">
        <f>Model!D151</f>
        <v>2.7427763569527253</v>
      </c>
      <c r="E246" s="94">
        <f>Model!E151</f>
        <v>2.6542499007302127</v>
      </c>
      <c r="F246" s="94">
        <f>Model!F151</f>
        <v>2.635472926058746</v>
      </c>
      <c r="G246" s="94">
        <f>Model!G151</f>
        <v>2.6491048131379826</v>
      </c>
      <c r="H246" s="94">
        <f>Model!H151</f>
        <v>2.681782624967513</v>
      </c>
      <c r="I246" s="94">
        <f>Model!I151</f>
        <v>2.7291204658401136</v>
      </c>
      <c r="J246" s="94">
        <f>Model!J151</f>
        <v>2.7914318757263907</v>
      </c>
      <c r="K246" s="94">
        <f>Model!K151</f>
        <v>2.860976925963063</v>
      </c>
      <c r="L246" s="94">
        <f>Model!L151</f>
        <v>2.9372828650168663</v>
      </c>
      <c r="M246" s="94">
        <f>Model!M151</f>
        <v>2.9997799359637467</v>
      </c>
      <c r="N246" s="94">
        <f>Model!N151</f>
        <v>3.015077573779742</v>
      </c>
      <c r="O246" s="94">
        <f>Model!O151</f>
        <v>2.9183838799606012</v>
      </c>
      <c r="P246" s="94">
        <f>Model!P151</f>
        <v>2.6101972538602554</v>
      </c>
      <c r="Q246" s="94">
        <f>Model!Q151</f>
        <v>1.9812965013204746</v>
      </c>
      <c r="R246" s="94">
        <f>Model!R151</f>
        <v>0.9999999999999996</v>
      </c>
      <c r="S246" s="94">
        <f>Model!S151</f>
        <v>0</v>
      </c>
      <c r="T246" s="94">
        <f>Model!T151</f>
        <v>0</v>
      </c>
      <c r="U246" s="94">
        <f>Model!U151</f>
        <v>0</v>
      </c>
    </row>
    <row r="247" spans="1:21" ht="12.75">
      <c r="A247" s="95">
        <f t="shared" si="53"/>
        <v>18</v>
      </c>
      <c r="B247" s="94">
        <f>Model!B152</f>
        <v>3.507157145862238</v>
      </c>
      <c r="C247" s="94">
        <f>Model!C152</f>
        <v>2.761600179951523</v>
      </c>
      <c r="D247" s="94">
        <f>Model!D152</f>
        <v>2.5400940266970986</v>
      </c>
      <c r="E247" s="94">
        <f>Model!E152</f>
        <v>2.474589248148627</v>
      </c>
      <c r="F247" s="94">
        <f>Model!F152</f>
        <v>2.460871337301089</v>
      </c>
      <c r="G247" s="94">
        <f>Model!G152</f>
        <v>2.471652099306575</v>
      </c>
      <c r="H247" s="94">
        <f>Model!H152</f>
        <v>2.497139435517285</v>
      </c>
      <c r="I247" s="94">
        <f>Model!I152</f>
        <v>2.534644619198567</v>
      </c>
      <c r="J247" s="94">
        <f>Model!J152</f>
        <v>2.5849475654664995</v>
      </c>
      <c r="K247" s="94">
        <f>Model!K152</f>
        <v>2.644220924423629</v>
      </c>
      <c r="L247" s="94">
        <f>Model!L152</f>
        <v>2.7146864413617995</v>
      </c>
      <c r="M247" s="94">
        <f>Model!M152</f>
        <v>2.7859905931161526</v>
      </c>
      <c r="N247" s="94">
        <f>Model!N152</f>
        <v>2.8403762750546546</v>
      </c>
      <c r="O247" s="94">
        <f>Model!O152</f>
        <v>2.8386550880598342</v>
      </c>
      <c r="P247" s="94">
        <f>Model!P152</f>
        <v>2.7127631808230737</v>
      </c>
      <c r="Q247" s="94">
        <f>Model!Q152</f>
        <v>2.3661592083746035</v>
      </c>
      <c r="R247" s="94">
        <f>Model!R152</f>
        <v>1.6942110184813555</v>
      </c>
      <c r="S247" s="94">
        <f>Model!S152</f>
        <v>1</v>
      </c>
      <c r="T247" s="94">
        <f>Model!T152</f>
        <v>0</v>
      </c>
      <c r="U247" s="94">
        <f>Model!U152</f>
        <v>0</v>
      </c>
    </row>
    <row r="248" spans="1:21" ht="12.75">
      <c r="A248" s="95">
        <f t="shared" si="53"/>
        <v>19</v>
      </c>
      <c r="B248" s="94">
        <f>Model!B153</f>
        <v>4.781984865874111</v>
      </c>
      <c r="C248" s="94">
        <f>Model!C153</f>
        <v>3.9113853595633</v>
      </c>
      <c r="D248" s="94">
        <f>Model!D153</f>
        <v>3.641304075062555</v>
      </c>
      <c r="E248" s="94">
        <f>Model!E153</f>
        <v>3.560466757566952</v>
      </c>
      <c r="F248" s="94">
        <f>Model!F153</f>
        <v>3.5436444439824957</v>
      </c>
      <c r="G248" s="94">
        <f>Model!G153</f>
        <v>3.5573982082716564</v>
      </c>
      <c r="H248" s="94">
        <f>Model!H153</f>
        <v>3.589708307646961</v>
      </c>
      <c r="I248" s="94">
        <f>Model!I153</f>
        <v>3.637634824920911</v>
      </c>
      <c r="J248" s="94">
        <f>Model!J153</f>
        <v>3.702524049732172</v>
      </c>
      <c r="K248" s="94">
        <f>Model!K153</f>
        <v>3.7809980349672214</v>
      </c>
      <c r="L248" s="94">
        <f>Model!L153</f>
        <v>3.877679013740731</v>
      </c>
      <c r="M248" s="94">
        <f>Model!M153</f>
        <v>3.9834924428432164</v>
      </c>
      <c r="N248" s="94">
        <f>Model!N153</f>
        <v>4.082222650985341</v>
      </c>
      <c r="O248" s="94">
        <f>Model!O153</f>
        <v>4.133856385483446</v>
      </c>
      <c r="P248" s="94">
        <f>Model!P153</f>
        <v>4.063896068696195</v>
      </c>
      <c r="Q248" s="94">
        <f>Model!Q153</f>
        <v>3.7547912002049966</v>
      </c>
      <c r="R248" s="94">
        <f>Model!R153</f>
        <v>3.0460876462970448</v>
      </c>
      <c r="S248" s="94">
        <f>Model!S153</f>
        <v>2.309466123596454</v>
      </c>
      <c r="T248" s="94">
        <f>Model!T153</f>
        <v>1</v>
      </c>
      <c r="U248" s="94">
        <f>Model!U153</f>
        <v>0</v>
      </c>
    </row>
    <row r="249" spans="1:21" ht="12.75">
      <c r="A249" s="95">
        <f t="shared" si="53"/>
        <v>20</v>
      </c>
      <c r="B249" s="94">
        <f>Model!B154</f>
        <v>1.0000000000000653</v>
      </c>
      <c r="C249" s="94">
        <f>Model!C154</f>
        <v>0.9999999999998901</v>
      </c>
      <c r="D249" s="94">
        <f>Model!D154</f>
        <v>1.0000000000000249</v>
      </c>
      <c r="E249" s="94">
        <f>Model!E154</f>
        <v>0.9999999999999959</v>
      </c>
      <c r="F249" s="94">
        <f>Model!F154</f>
        <v>1.0000000000000018</v>
      </c>
      <c r="G249" s="94">
        <f>Model!G154</f>
        <v>1.0000000000000016</v>
      </c>
      <c r="H249" s="94">
        <f>Model!H154</f>
        <v>1.0000000000000013</v>
      </c>
      <c r="I249" s="94">
        <f>Model!I154</f>
        <v>1.000000000000001</v>
      </c>
      <c r="J249" s="94">
        <f>Model!J154</f>
        <v>1.0000000000000007</v>
      </c>
      <c r="K249" s="94">
        <f>Model!K154</f>
        <v>1.0000000000000007</v>
      </c>
      <c r="L249" s="94">
        <f>Model!L154</f>
        <v>1.0000000000000004</v>
      </c>
      <c r="M249" s="94">
        <f>Model!M154</f>
        <v>1.0000000000000002</v>
      </c>
      <c r="N249" s="94">
        <f>Model!N154</f>
        <v>1.0000000000000002</v>
      </c>
      <c r="O249" s="94">
        <f>Model!O154</f>
        <v>0.9999999999999996</v>
      </c>
      <c r="P249" s="94">
        <f>Model!P154</f>
        <v>0.9999999999999998</v>
      </c>
      <c r="Q249" s="94">
        <f>Model!Q154</f>
        <v>1</v>
      </c>
      <c r="R249" s="94">
        <f>Model!R154</f>
        <v>1</v>
      </c>
      <c r="S249" s="94">
        <f>Model!S154</f>
        <v>0.9999999999999999</v>
      </c>
      <c r="T249" s="94">
        <f>Model!T154</f>
        <v>1</v>
      </c>
      <c r="U249" s="94">
        <f>Model!U154</f>
        <v>1</v>
      </c>
    </row>
    <row r="258" ht="12.75">
      <c r="B258" s="94" t="s">
        <v>20</v>
      </c>
    </row>
    <row r="259" spans="2:21" ht="12.75">
      <c r="B259" s="95">
        <v>1</v>
      </c>
      <c r="C259" s="95">
        <f aca="true" t="shared" si="54" ref="C259:U259">B259+1</f>
        <v>2</v>
      </c>
      <c r="D259" s="95">
        <f t="shared" si="54"/>
        <v>3</v>
      </c>
      <c r="E259" s="95">
        <f t="shared" si="54"/>
        <v>4</v>
      </c>
      <c r="F259" s="95">
        <f t="shared" si="54"/>
        <v>5</v>
      </c>
      <c r="G259" s="95">
        <f t="shared" si="54"/>
        <v>6</v>
      </c>
      <c r="H259" s="95">
        <f t="shared" si="54"/>
        <v>7</v>
      </c>
      <c r="I259" s="95">
        <f t="shared" si="54"/>
        <v>8</v>
      </c>
      <c r="J259" s="95">
        <f t="shared" si="54"/>
        <v>9</v>
      </c>
      <c r="K259" s="95">
        <f t="shared" si="54"/>
        <v>10</v>
      </c>
      <c r="L259" s="95">
        <f t="shared" si="54"/>
        <v>11</v>
      </c>
      <c r="M259" s="95">
        <f t="shared" si="54"/>
        <v>12</v>
      </c>
      <c r="N259" s="95">
        <f t="shared" si="54"/>
        <v>13</v>
      </c>
      <c r="O259" s="95">
        <f t="shared" si="54"/>
        <v>14</v>
      </c>
      <c r="P259" s="95">
        <f t="shared" si="54"/>
        <v>15</v>
      </c>
      <c r="Q259" s="95">
        <f t="shared" si="54"/>
        <v>16</v>
      </c>
      <c r="R259" s="95">
        <f t="shared" si="54"/>
        <v>17</v>
      </c>
      <c r="S259" s="95">
        <f t="shared" si="54"/>
        <v>18</v>
      </c>
      <c r="T259" s="95">
        <f t="shared" si="54"/>
        <v>19</v>
      </c>
      <c r="U259" s="95">
        <f t="shared" si="54"/>
        <v>20</v>
      </c>
    </row>
    <row r="260" spans="1:21" ht="12.75">
      <c r="A260" s="95">
        <v>1</v>
      </c>
      <c r="B260" s="94">
        <f aca="true" t="array" ref="B260:U279">MMULT(B200:U219,B170:U189)</f>
        <v>0.7685062710366639</v>
      </c>
      <c r="C260" s="94">
        <v>0</v>
      </c>
      <c r="D260" s="94">
        <v>0</v>
      </c>
      <c r="E260" s="94">
        <v>0</v>
      </c>
      <c r="F260" s="94">
        <v>0</v>
      </c>
      <c r="G260" s="94">
        <v>0</v>
      </c>
      <c r="H260" s="94">
        <v>0</v>
      </c>
      <c r="I260" s="94">
        <v>0</v>
      </c>
      <c r="J260" s="94">
        <v>0</v>
      </c>
      <c r="K260" s="94">
        <v>0</v>
      </c>
      <c r="L260" s="94">
        <v>0</v>
      </c>
      <c r="M260" s="94">
        <v>0</v>
      </c>
      <c r="N260" s="94">
        <v>0</v>
      </c>
      <c r="O260" s="94">
        <v>0</v>
      </c>
      <c r="P260" s="94">
        <v>0</v>
      </c>
      <c r="Q260" s="94">
        <v>0</v>
      </c>
      <c r="R260" s="94">
        <v>0</v>
      </c>
      <c r="S260" s="94">
        <v>0</v>
      </c>
      <c r="T260" s="94">
        <v>0</v>
      </c>
      <c r="U260" s="94">
        <v>0</v>
      </c>
    </row>
    <row r="261" spans="1:21" ht="12.75">
      <c r="A261" s="95">
        <f aca="true" t="shared" si="55" ref="A261:A279">A260+1</f>
        <v>2</v>
      </c>
      <c r="B261" s="94">
        <v>0.24637986899024647</v>
      </c>
      <c r="C261" s="94">
        <v>0.5560489200638892</v>
      </c>
      <c r="D261" s="94">
        <v>0</v>
      </c>
      <c r="E261" s="94">
        <v>0</v>
      </c>
      <c r="F261" s="94">
        <v>0</v>
      </c>
      <c r="G261" s="94">
        <v>0</v>
      </c>
      <c r="H261" s="94">
        <v>0</v>
      </c>
      <c r="I261" s="94">
        <v>0</v>
      </c>
      <c r="J261" s="94">
        <v>0</v>
      </c>
      <c r="K261" s="94">
        <v>0</v>
      </c>
      <c r="L261" s="94">
        <v>0</v>
      </c>
      <c r="M261" s="94">
        <v>0</v>
      </c>
      <c r="N261" s="94">
        <v>0</v>
      </c>
      <c r="O261" s="94">
        <v>0</v>
      </c>
      <c r="P261" s="94">
        <v>0</v>
      </c>
      <c r="Q261" s="94">
        <v>0</v>
      </c>
      <c r="R261" s="94">
        <v>0</v>
      </c>
      <c r="S261" s="94">
        <v>0</v>
      </c>
      <c r="T261" s="94">
        <v>0</v>
      </c>
      <c r="U261" s="94">
        <v>0</v>
      </c>
    </row>
    <row r="262" spans="1:21" ht="12.75">
      <c r="A262" s="95">
        <f t="shared" si="55"/>
        <v>3</v>
      </c>
      <c r="B262" s="94">
        <v>0.12285825543613559</v>
      </c>
      <c r="C262" s="94">
        <v>0.28429510870712854</v>
      </c>
      <c r="D262" s="94">
        <v>0.338463626024461</v>
      </c>
      <c r="E262" s="94">
        <v>0</v>
      </c>
      <c r="F262" s="94">
        <v>0</v>
      </c>
      <c r="G262" s="94">
        <v>0</v>
      </c>
      <c r="H262" s="94">
        <v>0</v>
      </c>
      <c r="I262" s="94">
        <v>0</v>
      </c>
      <c r="J262" s="94">
        <v>0</v>
      </c>
      <c r="K262" s="94">
        <v>0</v>
      </c>
      <c r="L262" s="94">
        <v>0</v>
      </c>
      <c r="M262" s="94">
        <v>0</v>
      </c>
      <c r="N262" s="94">
        <v>0</v>
      </c>
      <c r="O262" s="94">
        <v>0</v>
      </c>
      <c r="P262" s="94">
        <v>0</v>
      </c>
      <c r="Q262" s="94">
        <v>0</v>
      </c>
      <c r="R262" s="94">
        <v>0</v>
      </c>
      <c r="S262" s="94">
        <v>0</v>
      </c>
      <c r="T262" s="94">
        <v>0</v>
      </c>
      <c r="U262" s="94">
        <v>0</v>
      </c>
    </row>
    <row r="263" spans="1:21" ht="12.75">
      <c r="A263" s="95">
        <f t="shared" si="55"/>
        <v>4</v>
      </c>
      <c r="B263" s="94">
        <v>0.061936158005993176</v>
      </c>
      <c r="C263" s="94">
        <v>0.1586794413874363</v>
      </c>
      <c r="D263" s="94">
        <v>0.2992209525161125</v>
      </c>
      <c r="E263" s="94">
        <v>0.2230428291573375</v>
      </c>
      <c r="F263" s="94">
        <v>0</v>
      </c>
      <c r="G263" s="94">
        <v>0</v>
      </c>
      <c r="H263" s="94">
        <v>0</v>
      </c>
      <c r="I263" s="94">
        <v>0</v>
      </c>
      <c r="J263" s="94">
        <v>0</v>
      </c>
      <c r="K263" s="94">
        <v>0</v>
      </c>
      <c r="L263" s="94">
        <v>0</v>
      </c>
      <c r="M263" s="94">
        <v>0</v>
      </c>
      <c r="N263" s="94">
        <v>0</v>
      </c>
      <c r="O263" s="94">
        <v>0</v>
      </c>
      <c r="P263" s="94">
        <v>0</v>
      </c>
      <c r="Q263" s="94">
        <v>0</v>
      </c>
      <c r="R263" s="94">
        <v>0</v>
      </c>
      <c r="S263" s="94">
        <v>0</v>
      </c>
      <c r="T263" s="94">
        <v>0</v>
      </c>
      <c r="U263" s="94">
        <v>0</v>
      </c>
    </row>
    <row r="264" spans="1:21" ht="12.75">
      <c r="A264" s="95">
        <f t="shared" si="55"/>
        <v>5</v>
      </c>
      <c r="B264" s="94">
        <v>0.061907790275108586</v>
      </c>
      <c r="C264" s="94">
        <v>0.17232897290219104</v>
      </c>
      <c r="D264" s="94">
        <v>0.4697107476578899</v>
      </c>
      <c r="E264" s="94">
        <v>1.5547897084889382</v>
      </c>
      <c r="F264" s="94">
        <v>0.2057802144726573</v>
      </c>
      <c r="G264" s="94">
        <v>0</v>
      </c>
      <c r="H264" s="94">
        <v>0</v>
      </c>
      <c r="I264" s="94">
        <v>0</v>
      </c>
      <c r="J264" s="94">
        <v>0</v>
      </c>
      <c r="K264" s="94">
        <v>0</v>
      </c>
      <c r="L264" s="94">
        <v>0</v>
      </c>
      <c r="M264" s="94">
        <v>0</v>
      </c>
      <c r="N264" s="94">
        <v>0</v>
      </c>
      <c r="O264" s="94">
        <v>0</v>
      </c>
      <c r="P264" s="94">
        <v>0</v>
      </c>
      <c r="Q264" s="94">
        <v>0</v>
      </c>
      <c r="R264" s="94">
        <v>0</v>
      </c>
      <c r="S264" s="94">
        <v>0</v>
      </c>
      <c r="T264" s="94">
        <v>0</v>
      </c>
      <c r="U264" s="94">
        <v>0</v>
      </c>
    </row>
    <row r="265" spans="1:21" ht="12.75">
      <c r="A265" s="95">
        <f t="shared" si="55"/>
        <v>6</v>
      </c>
      <c r="B265" s="94">
        <v>0.0725898408078251</v>
      </c>
      <c r="C265" s="94">
        <v>0.23436710945182584</v>
      </c>
      <c r="D265" s="94">
        <v>1.196896336865415</v>
      </c>
      <c r="E265" s="94">
        <v>-11.827609619004818</v>
      </c>
      <c r="F265" s="94">
        <v>-0.7583782561578362</v>
      </c>
      <c r="G265" s="94">
        <v>0.24280546378408463</v>
      </c>
      <c r="H265" s="94">
        <v>0</v>
      </c>
      <c r="I265" s="94">
        <v>0</v>
      </c>
      <c r="J265" s="94">
        <v>0</v>
      </c>
      <c r="K265" s="94">
        <v>0</v>
      </c>
      <c r="L265" s="94">
        <v>0</v>
      </c>
      <c r="M265" s="94">
        <v>0</v>
      </c>
      <c r="N265" s="94">
        <v>0</v>
      </c>
      <c r="O265" s="94">
        <v>0</v>
      </c>
      <c r="P265" s="94">
        <v>0</v>
      </c>
      <c r="Q265" s="94">
        <v>0</v>
      </c>
      <c r="R265" s="94">
        <v>0</v>
      </c>
      <c r="S265" s="94">
        <v>0</v>
      </c>
      <c r="T265" s="94">
        <v>0</v>
      </c>
      <c r="U265" s="94">
        <v>0</v>
      </c>
    </row>
    <row r="266" spans="1:21" ht="12.75">
      <c r="A266" s="95">
        <f t="shared" si="55"/>
        <v>7</v>
      </c>
      <c r="B266" s="94">
        <v>0.09405537337962956</v>
      </c>
      <c r="C266" s="94">
        <v>0.3862044653798895</v>
      </c>
      <c r="D266" s="94">
        <v>8.982121843005569</v>
      </c>
      <c r="E266" s="94">
        <v>18.655417246082422</v>
      </c>
      <c r="F266" s="94">
        <v>0.8945552861735253</v>
      </c>
      <c r="G266" s="94">
        <v>-0.5563550042597959</v>
      </c>
      <c r="H266" s="94">
        <v>0.30826803773103656</v>
      </c>
      <c r="I266" s="94">
        <v>0</v>
      </c>
      <c r="J266" s="94">
        <v>0</v>
      </c>
      <c r="K266" s="94">
        <v>0</v>
      </c>
      <c r="L266" s="94">
        <v>0</v>
      </c>
      <c r="M266" s="94">
        <v>0</v>
      </c>
      <c r="N266" s="94">
        <v>0</v>
      </c>
      <c r="O266" s="94">
        <v>0</v>
      </c>
      <c r="P266" s="94">
        <v>0</v>
      </c>
      <c r="Q266" s="94">
        <v>0</v>
      </c>
      <c r="R266" s="94">
        <v>0</v>
      </c>
      <c r="S266" s="94">
        <v>0</v>
      </c>
      <c r="T266" s="94">
        <v>0</v>
      </c>
      <c r="U266" s="94">
        <v>0</v>
      </c>
    </row>
    <row r="267" spans="1:21" ht="12.75">
      <c r="A267" s="95">
        <f t="shared" si="55"/>
        <v>8</v>
      </c>
      <c r="B267" s="94">
        <v>0.14930319533387412</v>
      </c>
      <c r="C267" s="94">
        <v>0.9167963022814638</v>
      </c>
      <c r="D267" s="94">
        <v>-34.865149162852916</v>
      </c>
      <c r="E267" s="94">
        <v>-11.64568485436579</v>
      </c>
      <c r="F267" s="94">
        <v>-0.440439082319629</v>
      </c>
      <c r="G267" s="94">
        <v>0.45335540506084265</v>
      </c>
      <c r="H267" s="94">
        <v>-0.6561110101669845</v>
      </c>
      <c r="I267" s="94">
        <v>0.38969860657061395</v>
      </c>
      <c r="J267" s="94">
        <v>0</v>
      </c>
      <c r="K267" s="94">
        <v>0</v>
      </c>
      <c r="L267" s="94">
        <v>0</v>
      </c>
      <c r="M267" s="94">
        <v>0</v>
      </c>
      <c r="N267" s="94">
        <v>0</v>
      </c>
      <c r="O267" s="94">
        <v>0</v>
      </c>
      <c r="P267" s="94">
        <v>0</v>
      </c>
      <c r="Q267" s="94">
        <v>0</v>
      </c>
      <c r="R267" s="94">
        <v>0</v>
      </c>
      <c r="S267" s="94">
        <v>0</v>
      </c>
      <c r="T267" s="94">
        <v>0</v>
      </c>
      <c r="U267" s="94">
        <v>0</v>
      </c>
    </row>
    <row r="268" spans="1:21" ht="12.75">
      <c r="A268" s="95">
        <f t="shared" si="55"/>
        <v>9</v>
      </c>
      <c r="B268" s="94">
        <v>0.22938266163771084</v>
      </c>
      <c r="C268" s="94">
        <v>3.263928294712452</v>
      </c>
      <c r="D268" s="94">
        <v>34.21312994796539</v>
      </c>
      <c r="E268" s="94">
        <v>3.079749476924853</v>
      </c>
      <c r="F268" s="94">
        <v>0.09318010439783009</v>
      </c>
      <c r="G268" s="94">
        <v>-0.15170989131261584</v>
      </c>
      <c r="H268" s="94">
        <v>0.4549846854770159</v>
      </c>
      <c r="I268" s="94">
        <v>-0.7589495056151518</v>
      </c>
      <c r="J268" s="94">
        <v>0.4759356811795449</v>
      </c>
      <c r="K268" s="94">
        <v>0</v>
      </c>
      <c r="L268" s="94">
        <v>0</v>
      </c>
      <c r="M268" s="94">
        <v>0</v>
      </c>
      <c r="N268" s="94">
        <v>0</v>
      </c>
      <c r="O268" s="94">
        <v>0</v>
      </c>
      <c r="P268" s="94">
        <v>0</v>
      </c>
      <c r="Q268" s="94">
        <v>0</v>
      </c>
      <c r="R268" s="94">
        <v>0</v>
      </c>
      <c r="S268" s="94">
        <v>0</v>
      </c>
      <c r="T268" s="94">
        <v>0</v>
      </c>
      <c r="U268" s="94">
        <v>0</v>
      </c>
    </row>
    <row r="269" spans="1:21" ht="12.75">
      <c r="A269" s="95">
        <f t="shared" si="55"/>
        <v>10</v>
      </c>
      <c r="B269" s="94">
        <v>0.4304227975167076</v>
      </c>
      <c r="C269" s="94">
        <v>-331.1328274566377</v>
      </c>
      <c r="D269" s="94">
        <v>-12.748007182741711</v>
      </c>
      <c r="E269" s="94">
        <v>-0.12327175546495155</v>
      </c>
      <c r="F269" s="94">
        <v>-0.00026413212058489606</v>
      </c>
      <c r="G269" s="94">
        <v>0.012754956760611032</v>
      </c>
      <c r="H269" s="94">
        <v>-0.11802474203360142</v>
      </c>
      <c r="I269" s="94">
        <v>0.5041186311261963</v>
      </c>
      <c r="J269" s="94">
        <v>-0.9688142693822182</v>
      </c>
      <c r="K269" s="94">
        <v>0.5582643926031201</v>
      </c>
      <c r="L269" s="94">
        <v>0</v>
      </c>
      <c r="M269" s="94">
        <v>0</v>
      </c>
      <c r="N269" s="94">
        <v>0</v>
      </c>
      <c r="O269" s="94">
        <v>0</v>
      </c>
      <c r="P269" s="94">
        <v>0</v>
      </c>
      <c r="Q269" s="94">
        <v>0</v>
      </c>
      <c r="R269" s="94">
        <v>0</v>
      </c>
      <c r="S269" s="94">
        <v>0</v>
      </c>
      <c r="T269" s="94">
        <v>0</v>
      </c>
      <c r="U269" s="94">
        <v>0</v>
      </c>
    </row>
    <row r="270" spans="1:21" ht="12.75">
      <c r="A270" s="95">
        <f t="shared" si="55"/>
        <v>11</v>
      </c>
      <c r="B270" s="94">
        <v>0.9637434222032184</v>
      </c>
      <c r="C270" s="94">
        <v>631.0767176905811</v>
      </c>
      <c r="D270" s="94">
        <v>1.8760354689885679</v>
      </c>
      <c r="E270" s="94">
        <v>0.009655906920660118</v>
      </c>
      <c r="F270" s="94">
        <v>0.0008320483473389612</v>
      </c>
      <c r="G270" s="94">
        <v>-3.867811637175675E-05</v>
      </c>
      <c r="H270" s="94">
        <v>0.010171026247290202</v>
      </c>
      <c r="I270" s="94">
        <v>-0.13893024998507753</v>
      </c>
      <c r="J270" s="94">
        <v>0.6590737344793783</v>
      </c>
      <c r="K270" s="94">
        <v>-1.103437348789408</v>
      </c>
      <c r="L270" s="94">
        <v>0.6364135594880842</v>
      </c>
      <c r="M270" s="94">
        <v>0</v>
      </c>
      <c r="N270" s="94">
        <v>0</v>
      </c>
      <c r="O270" s="94">
        <v>0</v>
      </c>
      <c r="P270" s="94">
        <v>0</v>
      </c>
      <c r="Q270" s="94">
        <v>0</v>
      </c>
      <c r="R270" s="94">
        <v>0</v>
      </c>
      <c r="S270" s="94">
        <v>0</v>
      </c>
      <c r="T270" s="94">
        <v>0</v>
      </c>
      <c r="U270" s="94">
        <v>0</v>
      </c>
    </row>
    <row r="271" spans="1:21" ht="12.75">
      <c r="A271" s="95">
        <f t="shared" si="55"/>
        <v>12</v>
      </c>
      <c r="B271" s="94">
        <v>3.365535074955533</v>
      </c>
      <c r="C271" s="94">
        <v>-407.55027156315657</v>
      </c>
      <c r="D271" s="94">
        <v>0.03255633326320388</v>
      </c>
      <c r="E271" s="94">
        <v>0.011489661331344993</v>
      </c>
      <c r="F271" s="94">
        <v>0.0007522227892678811</v>
      </c>
      <c r="G271" s="94">
        <v>-0.00012219989757827305</v>
      </c>
      <c r="H271" s="94">
        <v>0.00035851991588014984</v>
      </c>
      <c r="I271" s="94">
        <v>0.009237978517965824</v>
      </c>
      <c r="J271" s="94">
        <v>-0.17647202135308274</v>
      </c>
      <c r="K271" s="94">
        <v>0.731054864332542</v>
      </c>
      <c r="L271" s="94">
        <v>-1.2635056321621787</v>
      </c>
      <c r="M271" s="94">
        <v>0.7057043449765488</v>
      </c>
      <c r="N271" s="94">
        <v>0</v>
      </c>
      <c r="O271" s="94">
        <v>0</v>
      </c>
      <c r="P271" s="94">
        <v>0</v>
      </c>
      <c r="Q271" s="94">
        <v>0</v>
      </c>
      <c r="R271" s="94">
        <v>0</v>
      </c>
      <c r="S271" s="94">
        <v>0</v>
      </c>
      <c r="T271" s="94">
        <v>0</v>
      </c>
      <c r="U271" s="94">
        <v>0</v>
      </c>
    </row>
    <row r="272" spans="1:21" ht="12.75">
      <c r="A272" s="95">
        <f t="shared" si="55"/>
        <v>13</v>
      </c>
      <c r="B272" s="94">
        <v>157.64531554548253</v>
      </c>
      <c r="C272" s="94">
        <v>104.87470184331175</v>
      </c>
      <c r="D272" s="94">
        <v>0.03244722049230139</v>
      </c>
      <c r="E272" s="94">
        <v>0.009866975591180618</v>
      </c>
      <c r="F272" s="94">
        <v>0.00063096569888429</v>
      </c>
      <c r="G272" s="94">
        <v>-0.00010872105848092603</v>
      </c>
      <c r="H272" s="94">
        <v>7.90179617357393E-05</v>
      </c>
      <c r="I272" s="94">
        <v>-0.0005849722305946026</v>
      </c>
      <c r="J272" s="94">
        <v>0.012869635132948634</v>
      </c>
      <c r="K272" s="94">
        <v>-0.19311060864064153</v>
      </c>
      <c r="L272" s="94">
        <v>0.8373725579650442</v>
      </c>
      <c r="M272" s="94">
        <v>-1.394247511056725</v>
      </c>
      <c r="N272" s="94">
        <v>0.7652591315156225</v>
      </c>
      <c r="O272" s="94">
        <v>0</v>
      </c>
      <c r="P272" s="94">
        <v>0</v>
      </c>
      <c r="Q272" s="94">
        <v>0</v>
      </c>
      <c r="R272" s="94">
        <v>0</v>
      </c>
      <c r="S272" s="94">
        <v>0</v>
      </c>
      <c r="T272" s="94">
        <v>0</v>
      </c>
      <c r="U272" s="94">
        <v>0</v>
      </c>
    </row>
    <row r="273" spans="1:21" ht="12.75">
      <c r="A273" s="95">
        <f t="shared" si="55"/>
        <v>14</v>
      </c>
      <c r="B273" s="94">
        <v>-339.00859492068696</v>
      </c>
      <c r="C273" s="94">
        <v>-6.341411587617129</v>
      </c>
      <c r="D273" s="94">
        <v>0.027344082431173602</v>
      </c>
      <c r="E273" s="94">
        <v>0.008273564732495771</v>
      </c>
      <c r="F273" s="94">
        <v>0.0005273578687418169</v>
      </c>
      <c r="G273" s="94">
        <v>-9.154469199229614E-05</v>
      </c>
      <c r="H273" s="94">
        <v>4.65891599117461E-05</v>
      </c>
      <c r="I273" s="94">
        <v>-0.0007075345557125343</v>
      </c>
      <c r="J273" s="94">
        <v>-6.037078025647417E-05</v>
      </c>
      <c r="K273" s="94">
        <v>0.012473268845480237</v>
      </c>
      <c r="L273" s="94">
        <v>-0.21880973613475221</v>
      </c>
      <c r="M273" s="94">
        <v>0.9189187905064703</v>
      </c>
      <c r="N273" s="94">
        <v>-1.5133711317859397</v>
      </c>
      <c r="O273" s="94">
        <v>0.814728831776004</v>
      </c>
      <c r="P273" s="94">
        <v>0</v>
      </c>
      <c r="Q273" s="94">
        <v>0</v>
      </c>
      <c r="R273" s="94">
        <v>0</v>
      </c>
      <c r="S273" s="94">
        <v>0</v>
      </c>
      <c r="T273" s="94">
        <v>0</v>
      </c>
      <c r="U273" s="94">
        <v>0</v>
      </c>
    </row>
    <row r="274" spans="1:21" ht="12.75">
      <c r="A274" s="95">
        <f t="shared" si="55"/>
        <v>15</v>
      </c>
      <c r="B274" s="94">
        <v>237.41222749260655</v>
      </c>
      <c r="C274" s="94">
        <v>0.28014592772724844</v>
      </c>
      <c r="D274" s="94">
        <v>0.02300980275988405</v>
      </c>
      <c r="E274" s="94">
        <v>0.006974907891355559</v>
      </c>
      <c r="F274" s="94">
        <v>0.00044442644449907653</v>
      </c>
      <c r="G274" s="94">
        <v>-7.720697928675667E-05</v>
      </c>
      <c r="H274" s="94">
        <v>3.6585532275267607E-05</v>
      </c>
      <c r="I274" s="94">
        <v>-0.0006139509455631339</v>
      </c>
      <c r="J274" s="94">
        <v>-0.00036994909962739195</v>
      </c>
      <c r="K274" s="94">
        <v>-0.0004431710875533966</v>
      </c>
      <c r="L274" s="94">
        <v>0.01392904541411758</v>
      </c>
      <c r="M274" s="94">
        <v>-0.23945040462936526</v>
      </c>
      <c r="N274" s="94">
        <v>1.0009385122139067</v>
      </c>
      <c r="O274" s="94">
        <v>-1.6142332224921727</v>
      </c>
      <c r="P274" s="94">
        <v>0.8550927514825538</v>
      </c>
      <c r="Q274" s="94">
        <v>0</v>
      </c>
      <c r="R274" s="94">
        <v>0</v>
      </c>
      <c r="S274" s="94">
        <v>0</v>
      </c>
      <c r="T274" s="94">
        <v>0</v>
      </c>
      <c r="U274" s="94">
        <v>0</v>
      </c>
    </row>
    <row r="275" spans="1:21" ht="12.75">
      <c r="A275" s="95">
        <f t="shared" si="55"/>
        <v>16</v>
      </c>
      <c r="B275" s="94">
        <v>-65.98279122810006</v>
      </c>
      <c r="C275" s="94">
        <v>0.4272848690150347</v>
      </c>
      <c r="D275" s="94">
        <v>0.01921793142843507</v>
      </c>
      <c r="E275" s="94">
        <v>0.005839301572033914</v>
      </c>
      <c r="F275" s="94">
        <v>0.0003721336448850956</v>
      </c>
      <c r="G275" s="94">
        <v>-6.462270221948855E-05</v>
      </c>
      <c r="H275" s="94">
        <v>3.014256159783473E-05</v>
      </c>
      <c r="I275" s="94">
        <v>-0.000514719343004113</v>
      </c>
      <c r="J275" s="94">
        <v>-0.0003375673812171633</v>
      </c>
      <c r="K275" s="94">
        <v>-0.0007252697246598415</v>
      </c>
      <c r="L275" s="94">
        <v>-0.0004376842225796307</v>
      </c>
      <c r="M275" s="94">
        <v>0.015438545756032183</v>
      </c>
      <c r="N275" s="94">
        <v>-0.2624840588291396</v>
      </c>
      <c r="O275" s="94">
        <v>1.0673346581169239</v>
      </c>
      <c r="P275" s="94">
        <v>-1.690976711839649</v>
      </c>
      <c r="Q275" s="94">
        <v>0.8874734511366758</v>
      </c>
      <c r="R275" s="94">
        <v>0</v>
      </c>
      <c r="S275" s="94">
        <v>0</v>
      </c>
      <c r="T275" s="94">
        <v>0</v>
      </c>
      <c r="U275" s="94">
        <v>0</v>
      </c>
    </row>
    <row r="276" spans="1:21" ht="12.75">
      <c r="A276" s="95">
        <f t="shared" si="55"/>
        <v>17</v>
      </c>
      <c r="B276" s="94">
        <v>4.814072173837372</v>
      </c>
      <c r="C276" s="94">
        <v>0.3771515395763023</v>
      </c>
      <c r="D276" s="94">
        <v>0.016199074672783555</v>
      </c>
      <c r="E276" s="94">
        <v>0.004930818168256346</v>
      </c>
      <c r="F276" s="94">
        <v>0.000314301700411843</v>
      </c>
      <c r="G276" s="94">
        <v>-5.455526333528318E-05</v>
      </c>
      <c r="H276" s="94">
        <v>2.5338821375945412E-05</v>
      </c>
      <c r="I276" s="94">
        <v>-0.00043389335260304114</v>
      </c>
      <c r="J276" s="94">
        <v>-0.0002878211137338022</v>
      </c>
      <c r="K276" s="94">
        <v>-0.0006422257530080147</v>
      </c>
      <c r="L276" s="94">
        <v>-0.0007505865862804889</v>
      </c>
      <c r="M276" s="94">
        <v>-0.0005266651973172271</v>
      </c>
      <c r="N276" s="94">
        <v>0.016694061385765915</v>
      </c>
      <c r="O276" s="94">
        <v>-0.2789307886203093</v>
      </c>
      <c r="P276" s="94">
        <v>1.1183654912667251</v>
      </c>
      <c r="Q276" s="94">
        <v>-1.7583480437519028</v>
      </c>
      <c r="R276" s="94">
        <v>0.9131087041905915</v>
      </c>
      <c r="S276" s="94">
        <v>0</v>
      </c>
      <c r="T276" s="94">
        <v>0</v>
      </c>
      <c r="U276" s="94">
        <v>0</v>
      </c>
    </row>
    <row r="277" spans="1:21" ht="12.75">
      <c r="A277" s="95">
        <f t="shared" si="55"/>
        <v>18</v>
      </c>
      <c r="B277" s="94">
        <v>-0.026718027412837093</v>
      </c>
      <c r="C277" s="94">
        <v>0.17267872042638277</v>
      </c>
      <c r="D277" s="94">
        <v>0.0074950743466645955</v>
      </c>
      <c r="E277" s="94">
        <v>0.0022941279203482264</v>
      </c>
      <c r="F277" s="94">
        <v>0.00014633708986130117</v>
      </c>
      <c r="G277" s="94">
        <v>-2.5361148421021485E-05</v>
      </c>
      <c r="H277" s="94">
        <v>1.1734469621808838E-05</v>
      </c>
      <c r="I277" s="94">
        <v>-0.00020018139429048127</v>
      </c>
      <c r="J277" s="94">
        <v>-0.00013223912571728563</v>
      </c>
      <c r="K277" s="94">
        <v>-0.00029408274820901355</v>
      </c>
      <c r="L277" s="94">
        <v>-0.0003551506428038071</v>
      </c>
      <c r="M277" s="94">
        <v>-0.00045714876379302047</v>
      </c>
      <c r="N277" s="94">
        <v>-0.00019855015344533348</v>
      </c>
      <c r="O277" s="94">
        <v>0.013382193281651208</v>
      </c>
      <c r="P277" s="94">
        <v>-0.21329115253757322</v>
      </c>
      <c r="Q277" s="94">
        <v>0.8791091514545768</v>
      </c>
      <c r="R277" s="94">
        <v>-1.546998827710933</v>
      </c>
      <c r="S277" s="94">
        <v>0.9289976488560415</v>
      </c>
      <c r="T277" s="94">
        <v>0</v>
      </c>
      <c r="U277" s="94">
        <v>0</v>
      </c>
    </row>
    <row r="278" spans="1:21" ht="12.75">
      <c r="A278" s="95">
        <f t="shared" si="55"/>
        <v>19</v>
      </c>
      <c r="B278" s="94">
        <v>-0.08513223759818085</v>
      </c>
      <c r="C278" s="94">
        <v>0.14955852743010803</v>
      </c>
      <c r="D278" s="94">
        <v>0.006430277488966448</v>
      </c>
      <c r="E278" s="94">
        <v>0.00196407083088886</v>
      </c>
      <c r="F278" s="94">
        <v>0.00012525069875069907</v>
      </c>
      <c r="G278" s="94">
        <v>-2.1719242084992362E-05</v>
      </c>
      <c r="H278" s="94">
        <v>1.0059371484861266E-05</v>
      </c>
      <c r="I278" s="94">
        <v>-0.00017196300845672964</v>
      </c>
      <c r="J278" s="94">
        <v>-0.0001139742458711787</v>
      </c>
      <c r="K278" s="94">
        <v>-0.00025476204768027445</v>
      </c>
      <c r="L278" s="94">
        <v>-0.000311784116385359</v>
      </c>
      <c r="M278" s="94">
        <v>-0.000424384048920331</v>
      </c>
      <c r="N278" s="94">
        <v>-0.0004295236142839072</v>
      </c>
      <c r="O278" s="94">
        <v>0.003227188543616997</v>
      </c>
      <c r="P278" s="94">
        <v>-0.039794209497596926</v>
      </c>
      <c r="Q278" s="94">
        <v>-0.006468055008270959</v>
      </c>
      <c r="R278" s="94">
        <v>0.7913322422805633</v>
      </c>
      <c r="S278" s="94">
        <v>-2.145488598933782</v>
      </c>
      <c r="T278" s="94">
        <v>0.938107011237723</v>
      </c>
      <c r="U278" s="94">
        <v>0</v>
      </c>
    </row>
    <row r="279" spans="1:21" ht="12.75">
      <c r="A279" s="95">
        <f t="shared" si="55"/>
        <v>20</v>
      </c>
      <c r="B279" s="94">
        <v>-1.3349995077070758</v>
      </c>
      <c r="C279" s="94">
        <v>1.6936228744572643</v>
      </c>
      <c r="D279" s="94">
        <v>0.07287762568780648</v>
      </c>
      <c r="E279" s="94">
        <v>0.022277633223446128</v>
      </c>
      <c r="F279" s="94">
        <v>0.0014208212713964514</v>
      </c>
      <c r="G279" s="94">
        <v>-0.00024632093335571776</v>
      </c>
      <c r="H279" s="94">
        <v>0.00011401495135990872</v>
      </c>
      <c r="I279" s="94">
        <v>-0.0019482457843221512</v>
      </c>
      <c r="J279" s="94">
        <v>-0.001290838310147629</v>
      </c>
      <c r="K279" s="94">
        <v>-0.0028850569899823487</v>
      </c>
      <c r="L279" s="94">
        <v>-0.0035445890022657977</v>
      </c>
      <c r="M279" s="94">
        <v>-0.00495556754293044</v>
      </c>
      <c r="N279" s="94">
        <v>-0.006408440732486473</v>
      </c>
      <c r="O279" s="94">
        <v>-0.005508860605714055</v>
      </c>
      <c r="P279" s="94">
        <v>-0.029396168874459665</v>
      </c>
      <c r="Q279" s="94">
        <v>-0.0017665038310786718</v>
      </c>
      <c r="R279" s="94">
        <v>-0.1574421187602219</v>
      </c>
      <c r="S279" s="94">
        <v>1.2164909500777406</v>
      </c>
      <c r="T279" s="94">
        <v>-0.938107011237723</v>
      </c>
      <c r="U279" s="94">
        <v>1</v>
      </c>
    </row>
    <row r="288" spans="2:27" ht="12.75">
      <c r="B288" s="94" t="s">
        <v>21</v>
      </c>
      <c r="X288" s="94" t="s">
        <v>17</v>
      </c>
      <c r="AA288" s="94" t="s">
        <v>17</v>
      </c>
    </row>
    <row r="289" spans="2:27" ht="12.75">
      <c r="B289" s="95">
        <v>1</v>
      </c>
      <c r="C289" s="95">
        <f aca="true" t="shared" si="56" ref="C289:U289">B289+1</f>
        <v>2</v>
      </c>
      <c r="D289" s="95">
        <f t="shared" si="56"/>
        <v>3</v>
      </c>
      <c r="E289" s="95">
        <f t="shared" si="56"/>
        <v>4</v>
      </c>
      <c r="F289" s="95">
        <f t="shared" si="56"/>
        <v>5</v>
      </c>
      <c r="G289" s="95">
        <f t="shared" si="56"/>
        <v>6</v>
      </c>
      <c r="H289" s="95">
        <f t="shared" si="56"/>
        <v>7</v>
      </c>
      <c r="I289" s="95">
        <f t="shared" si="56"/>
        <v>8</v>
      </c>
      <c r="J289" s="95">
        <f t="shared" si="56"/>
        <v>9</v>
      </c>
      <c r="K289" s="95">
        <f t="shared" si="56"/>
        <v>10</v>
      </c>
      <c r="L289" s="95">
        <f t="shared" si="56"/>
        <v>11</v>
      </c>
      <c r="M289" s="95">
        <f t="shared" si="56"/>
        <v>12</v>
      </c>
      <c r="N289" s="95">
        <f t="shared" si="56"/>
        <v>13</v>
      </c>
      <c r="O289" s="95">
        <f t="shared" si="56"/>
        <v>14</v>
      </c>
      <c r="P289" s="95">
        <f t="shared" si="56"/>
        <v>15</v>
      </c>
      <c r="Q289" s="95">
        <f t="shared" si="56"/>
        <v>16</v>
      </c>
      <c r="R289" s="95">
        <f t="shared" si="56"/>
        <v>17</v>
      </c>
      <c r="S289" s="95">
        <f t="shared" si="56"/>
        <v>18</v>
      </c>
      <c r="T289" s="95">
        <f t="shared" si="56"/>
        <v>19</v>
      </c>
      <c r="U289" s="95">
        <f t="shared" si="56"/>
        <v>20</v>
      </c>
      <c r="X289" s="94" t="s">
        <v>18</v>
      </c>
      <c r="AA289" s="94" t="s">
        <v>22</v>
      </c>
    </row>
    <row r="290" spans="1:27" ht="12.75">
      <c r="A290" s="95">
        <v>1</v>
      </c>
      <c r="B290" s="94">
        <f aca="true" t="array" ref="B290:U309">MMULT(B260:U279,B230:U249)</f>
        <v>0.7685062710366642</v>
      </c>
      <c r="C290" s="94">
        <v>-1.841328607481215E-16</v>
      </c>
      <c r="D290" s="94">
        <v>1.036714426060852E-16</v>
      </c>
      <c r="E290" s="94">
        <v>-1.0599244505249009E-16</v>
      </c>
      <c r="F290" s="94">
        <v>-7.427207828495657E-17</v>
      </c>
      <c r="G290" s="94">
        <v>5.260938878517757E-17</v>
      </c>
      <c r="H290" s="94">
        <v>-2.5531026910453818E-17</v>
      </c>
      <c r="I290" s="94">
        <v>3.24940342496685E-17</v>
      </c>
      <c r="J290" s="94">
        <v>-3.868337410674821E-18</v>
      </c>
      <c r="K290" s="94">
        <v>-1.6788584362328726E-16</v>
      </c>
      <c r="L290" s="94">
        <v>-5.338305626731253E-17</v>
      </c>
      <c r="M290" s="94">
        <v>-1.2456046462372926E-16</v>
      </c>
      <c r="N290" s="94">
        <v>-7.504574576709153E-17</v>
      </c>
      <c r="O290" s="94">
        <v>-5.802506116012232E-19</v>
      </c>
      <c r="P290" s="94">
        <v>0</v>
      </c>
      <c r="Q290" s="94">
        <v>0</v>
      </c>
      <c r="R290" s="94">
        <v>-7.064912525491883E-17</v>
      </c>
      <c r="S290" s="94">
        <v>0</v>
      </c>
      <c r="T290" s="94">
        <v>0</v>
      </c>
      <c r="U290" s="94">
        <v>0</v>
      </c>
      <c r="W290" s="95">
        <v>1</v>
      </c>
      <c r="X290" s="97">
        <f>Data_File!G25</f>
        <v>1.4142489331366193</v>
      </c>
      <c r="Z290" s="95">
        <v>1</v>
      </c>
      <c r="AA290" s="94">
        <f aca="true" t="array" ref="AA290:AA309">MMULT(B290:U309,X290:X309)</f>
        <v>1.086859173922399</v>
      </c>
    </row>
    <row r="291" spans="1:27" ht="12.75">
      <c r="A291" s="95">
        <f aca="true" t="shared" si="57" ref="A291:A309">A290+1</f>
        <v>2</v>
      </c>
      <c r="B291" s="94">
        <v>0.06811293059206514</v>
      </c>
      <c r="C291" s="94">
        <v>0.5560489200638898</v>
      </c>
      <c r="D291" s="94">
        <v>-5.3181947104107495E-18</v>
      </c>
      <c r="E291" s="94">
        <v>1.1901394141998945E-17</v>
      </c>
      <c r="F291" s="94">
        <v>6.166595420594132E-17</v>
      </c>
      <c r="G291" s="94">
        <v>1.4725341491207596E-16</v>
      </c>
      <c r="H291" s="94">
        <v>1.0528903975638954E-16</v>
      </c>
      <c r="I291" s="94">
        <v>5.581596138144095E-17</v>
      </c>
      <c r="J291" s="94">
        <v>1.2908059906150942E-16</v>
      </c>
      <c r="K291" s="94">
        <v>1.5361457167524039E-16</v>
      </c>
      <c r="L291" s="94">
        <v>6.644743737810855E-18</v>
      </c>
      <c r="M291" s="94">
        <v>8.3921744786677E-17</v>
      </c>
      <c r="N291" s="94">
        <v>-6.197992881985135E-19</v>
      </c>
      <c r="O291" s="94">
        <v>-1.4521693259163395E-17</v>
      </c>
      <c r="P291" s="94">
        <v>0</v>
      </c>
      <c r="Q291" s="94">
        <v>0</v>
      </c>
      <c r="R291" s="94">
        <v>-6.261652176744267E-18</v>
      </c>
      <c r="S291" s="94">
        <v>0</v>
      </c>
      <c r="T291" s="94">
        <v>0</v>
      </c>
      <c r="U291" s="94">
        <v>0</v>
      </c>
      <c r="W291" s="95">
        <f aca="true" t="shared" si="58" ref="W291:W309">W290+1</f>
        <v>2</v>
      </c>
      <c r="X291" s="97">
        <f>Data_File!G26</f>
        <v>1.6759752153595002</v>
      </c>
      <c r="Z291" s="95">
        <f aca="true" t="shared" si="59" ref="Z291:Z309">Z290+1</f>
        <v>2</v>
      </c>
      <c r="AA291" s="94">
        <v>1.0282528479771365</v>
      </c>
    </row>
    <row r="292" spans="1:27" ht="12.75">
      <c r="A292" s="95">
        <f t="shared" si="57"/>
        <v>3</v>
      </c>
      <c r="B292" s="94">
        <v>0.03308420397032904</v>
      </c>
      <c r="C292" s="94">
        <v>0.11124638964302686</v>
      </c>
      <c r="D292" s="94">
        <v>0.33846362602446106</v>
      </c>
      <c r="E292" s="94">
        <v>1.3318869705842208E-16</v>
      </c>
      <c r="F292" s="94">
        <v>-1.0767449668402169E-16</v>
      </c>
      <c r="G292" s="94">
        <v>3.8271242145352495E-17</v>
      </c>
      <c r="H292" s="94">
        <v>1.0025279268007357E-16</v>
      </c>
      <c r="I292" s="94">
        <v>8.093015594330672E-17</v>
      </c>
      <c r="J292" s="94">
        <v>1.1867121042694478E-16</v>
      </c>
      <c r="K292" s="94">
        <v>-3.936833398607114E-17</v>
      </c>
      <c r="L292" s="94">
        <v>8.936008743052102E-17</v>
      </c>
      <c r="M292" s="94">
        <v>5.9086108188667066E-18</v>
      </c>
      <c r="N292" s="94">
        <v>-1.5356311862666586E-18</v>
      </c>
      <c r="O292" s="94">
        <v>-2.7483985824442036E-18</v>
      </c>
      <c r="P292" s="94">
        <v>0</v>
      </c>
      <c r="Q292" s="94">
        <v>0</v>
      </c>
      <c r="R292" s="94">
        <v>-3.0414456698005572E-18</v>
      </c>
      <c r="S292" s="94">
        <v>0</v>
      </c>
      <c r="T292" s="94">
        <v>0</v>
      </c>
      <c r="U292" s="94">
        <v>0</v>
      </c>
      <c r="W292" s="95">
        <f t="shared" si="58"/>
        <v>3</v>
      </c>
      <c r="X292" s="97">
        <f>Data_File!G27</f>
        <v>2.4175566686864016</v>
      </c>
      <c r="Z292" s="95">
        <f t="shared" si="59"/>
        <v>3</v>
      </c>
      <c r="AA292" s="94">
        <v>1.0514904882118696</v>
      </c>
    </row>
    <row r="293" spans="1:27" ht="12.75">
      <c r="A293" s="95">
        <f t="shared" si="57"/>
        <v>4</v>
      </c>
      <c r="B293" s="94">
        <v>0.013907281799404566</v>
      </c>
      <c r="C293" s="94">
        <v>0.04285985119512488</v>
      </c>
      <c r="D293" s="94">
        <v>0.1020385002205626</v>
      </c>
      <c r="E293" s="94">
        <v>0.22304282915733745</v>
      </c>
      <c r="F293" s="94">
        <v>-7.745168320255125E-17</v>
      </c>
      <c r="G293" s="94">
        <v>-2.1073590984266112E-18</v>
      </c>
      <c r="H293" s="94">
        <v>6.808985675993881E-17</v>
      </c>
      <c r="I293" s="94">
        <v>3.7463033524145584E-17</v>
      </c>
      <c r="J293" s="94">
        <v>3.3202597399602224E-17</v>
      </c>
      <c r="K293" s="94">
        <v>-1.0450173449836997E-17</v>
      </c>
      <c r="L293" s="94">
        <v>2.6638238522396264E-17</v>
      </c>
      <c r="M293" s="94">
        <v>2.769321713262938E-18</v>
      </c>
      <c r="N293" s="94">
        <v>-8.305585547456389E-19</v>
      </c>
      <c r="O293" s="94">
        <v>-1.0872090071471492E-18</v>
      </c>
      <c r="P293" s="94">
        <v>0</v>
      </c>
      <c r="Q293" s="94">
        <v>0</v>
      </c>
      <c r="R293" s="94">
        <v>-1.2785026366488906E-18</v>
      </c>
      <c r="S293" s="94">
        <v>0</v>
      </c>
      <c r="T293" s="94">
        <v>0</v>
      </c>
      <c r="U293" s="94">
        <v>0</v>
      </c>
      <c r="W293" s="95">
        <f t="shared" si="58"/>
        <v>4</v>
      </c>
      <c r="X293" s="97">
        <f>Data_File!G28</f>
        <v>2.269489444688759</v>
      </c>
      <c r="Z293" s="95">
        <f t="shared" si="59"/>
        <v>4</v>
      </c>
      <c r="AA293" s="94">
        <v>0.8443776099417399</v>
      </c>
    </row>
    <row r="294" spans="1:27" ht="12.75">
      <c r="A294" s="95">
        <f t="shared" si="57"/>
        <v>5</v>
      </c>
      <c r="B294" s="94">
        <v>0.012154691022680415</v>
      </c>
      <c r="C294" s="94">
        <v>0.0344615713161954</v>
      </c>
      <c r="D294" s="94">
        <v>0.07775203704650557</v>
      </c>
      <c r="E294" s="94">
        <v>0.12033444766976897</v>
      </c>
      <c r="F294" s="94">
        <v>0.20578021447265726</v>
      </c>
      <c r="G294" s="94">
        <v>2.6025426652699624E-17</v>
      </c>
      <c r="H294" s="94">
        <v>4.7905064741655714E-17</v>
      </c>
      <c r="I294" s="94">
        <v>2.561142978356446E-17</v>
      </c>
      <c r="J294" s="94">
        <v>2.6555955313712943E-17</v>
      </c>
      <c r="K294" s="94">
        <v>-7.716808239277534E-18</v>
      </c>
      <c r="L294" s="94">
        <v>2.0256750396205835E-17</v>
      </c>
      <c r="M294" s="94">
        <v>2.1196886724476253E-18</v>
      </c>
      <c r="N294" s="94">
        <v>-7.568280509783284E-19</v>
      </c>
      <c r="O294" s="94">
        <v>-8.78963250184137E-19</v>
      </c>
      <c r="P294" s="94">
        <v>0</v>
      </c>
      <c r="Q294" s="94">
        <v>0</v>
      </c>
      <c r="R294" s="94">
        <v>-1.1173861825978699E-18</v>
      </c>
      <c r="S294" s="94">
        <v>0</v>
      </c>
      <c r="T294" s="94">
        <v>0</v>
      </c>
      <c r="U294" s="94">
        <v>0</v>
      </c>
      <c r="W294" s="95">
        <f t="shared" si="58"/>
        <v>5</v>
      </c>
      <c r="X294" s="97">
        <f>Data_File!G29</f>
        <v>3.0060150841711675</v>
      </c>
      <c r="Z294" s="95">
        <f t="shared" si="59"/>
        <v>5</v>
      </c>
      <c r="AA294" s="94">
        <v>1.1545926414332293</v>
      </c>
    </row>
    <row r="295" spans="1:27" ht="12.75">
      <c r="A295" s="95">
        <f t="shared" si="57"/>
        <v>6</v>
      </c>
      <c r="B295" s="94">
        <v>0.011204432420259917</v>
      </c>
      <c r="C295" s="94">
        <v>0.029735405069943877</v>
      </c>
      <c r="D295" s="94">
        <v>0.0633317603348722</v>
      </c>
      <c r="E295" s="94">
        <v>0.09679932142942338</v>
      </c>
      <c r="F295" s="94">
        <v>0.13645210779163797</v>
      </c>
      <c r="G295" s="94">
        <v>0.24280546378408463</v>
      </c>
      <c r="H295" s="94">
        <v>4.051834796988245E-17</v>
      </c>
      <c r="I295" s="94">
        <v>4.2856813495343524E-17</v>
      </c>
      <c r="J295" s="94">
        <v>2.1907327583412656E-17</v>
      </c>
      <c r="K295" s="94">
        <v>-6.234977629487175E-18</v>
      </c>
      <c r="L295" s="94">
        <v>1.639963055060292E-17</v>
      </c>
      <c r="M295" s="94">
        <v>1.786235452507539E-18</v>
      </c>
      <c r="N295" s="94">
        <v>-8.178371358394359E-19</v>
      </c>
      <c r="O295" s="94">
        <v>-7.894835238814742E-19</v>
      </c>
      <c r="P295" s="94">
        <v>0</v>
      </c>
      <c r="Q295" s="94">
        <v>0</v>
      </c>
      <c r="R295" s="94">
        <v>-1.0300284842196833E-18</v>
      </c>
      <c r="S295" s="94">
        <v>0</v>
      </c>
      <c r="T295" s="94">
        <v>0</v>
      </c>
      <c r="U295" s="94">
        <v>0</v>
      </c>
      <c r="W295" s="95">
        <f t="shared" si="58"/>
        <v>6</v>
      </c>
      <c r="X295" s="97">
        <f>Data_File!G30</f>
        <v>3.42523383436162</v>
      </c>
      <c r="Z295" s="95">
        <f t="shared" si="59"/>
        <v>6</v>
      </c>
      <c r="AA295" s="94">
        <v>1.6803174002967114</v>
      </c>
    </row>
    <row r="296" spans="1:27" ht="12.75">
      <c r="A296" s="95">
        <f t="shared" si="57"/>
        <v>7</v>
      </c>
      <c r="B296" s="94">
        <v>0.010336917634468937</v>
      </c>
      <c r="C296" s="94">
        <v>0.026257795182023536</v>
      </c>
      <c r="D296" s="94">
        <v>0.052959180970118425</v>
      </c>
      <c r="E296" s="94">
        <v>0.07812371062482937</v>
      </c>
      <c r="F296" s="94">
        <v>0.1072722153456227</v>
      </c>
      <c r="G296" s="94">
        <v>0.14999839805705772</v>
      </c>
      <c r="H296" s="94">
        <v>0.3082680377310366</v>
      </c>
      <c r="I296" s="94">
        <v>1.0115479274009218E-17</v>
      </c>
      <c r="J296" s="94">
        <v>1.8484738293441615E-17</v>
      </c>
      <c r="K296" s="94">
        <v>-5.139458211017314E-18</v>
      </c>
      <c r="L296" s="94">
        <v>1.3546546650279091E-17</v>
      </c>
      <c r="M296" s="94">
        <v>1.5559569520553494E-18</v>
      </c>
      <c r="N296" s="94">
        <v>-7.183194160770749E-19</v>
      </c>
      <c r="O296" s="94">
        <v>-6.678811561974923E-19</v>
      </c>
      <c r="P296" s="94">
        <v>0</v>
      </c>
      <c r="Q296" s="94">
        <v>0</v>
      </c>
      <c r="R296" s="94">
        <v>-9.502774619161587E-19</v>
      </c>
      <c r="S296" s="94">
        <v>0</v>
      </c>
      <c r="T296" s="94">
        <v>0</v>
      </c>
      <c r="U296" s="94">
        <v>0</v>
      </c>
      <c r="W296" s="95">
        <f t="shared" si="58"/>
        <v>7</v>
      </c>
      <c r="X296" s="97">
        <f>Data_File!G31</f>
        <v>3.521881556343402</v>
      </c>
      <c r="Z296" s="95">
        <f t="shared" si="59"/>
        <v>7</v>
      </c>
      <c r="AA296" s="94">
        <v>2.2858841484985613</v>
      </c>
    </row>
    <row r="297" spans="1:27" ht="12.75">
      <c r="A297" s="95">
        <f t="shared" si="57"/>
        <v>8</v>
      </c>
      <c r="B297" s="94">
        <v>0.010779830221197662</v>
      </c>
      <c r="C297" s="94">
        <v>0.02659897416946766</v>
      </c>
      <c r="D297" s="94">
        <v>0.051150233830448144</v>
      </c>
      <c r="E297" s="94">
        <v>0.07199446544266008</v>
      </c>
      <c r="F297" s="94">
        <v>0.09299054481025126</v>
      </c>
      <c r="G297" s="94">
        <v>0.12285514094981531</v>
      </c>
      <c r="H297" s="94">
        <v>0.1733150578083048</v>
      </c>
      <c r="I297" s="94">
        <v>0.389698606570614</v>
      </c>
      <c r="J297" s="94">
        <v>1.7757668969281187E-17</v>
      </c>
      <c r="K297" s="94">
        <v>-4.813626101280896E-18</v>
      </c>
      <c r="L297" s="94">
        <v>1.3124684760798489E-17</v>
      </c>
      <c r="M297" s="94">
        <v>1.596688632384656E-18</v>
      </c>
      <c r="N297" s="94">
        <v>-7.494043179171336E-19</v>
      </c>
      <c r="O297" s="94">
        <v>-7.062363854414052E-19</v>
      </c>
      <c r="P297" s="94">
        <v>0</v>
      </c>
      <c r="Q297" s="94">
        <v>0</v>
      </c>
      <c r="R297" s="94">
        <v>-9.909946141321931E-19</v>
      </c>
      <c r="S297" s="94">
        <v>0</v>
      </c>
      <c r="T297" s="94">
        <v>0</v>
      </c>
      <c r="U297" s="94">
        <v>0</v>
      </c>
      <c r="W297" s="95">
        <f t="shared" si="58"/>
        <v>8</v>
      </c>
      <c r="X297" s="97">
        <f>Data_File!G32</f>
        <v>4.896684033251603</v>
      </c>
      <c r="Z297" s="95">
        <f t="shared" si="59"/>
        <v>8</v>
      </c>
      <c r="AA297" s="94">
        <v>3.5658384691493996</v>
      </c>
    </row>
    <row r="298" spans="1:27" ht="12.75">
      <c r="A298" s="95">
        <f t="shared" si="57"/>
        <v>9</v>
      </c>
      <c r="B298" s="94">
        <v>0.009248945297322564</v>
      </c>
      <c r="C298" s="94">
        <v>0.022468766385113526</v>
      </c>
      <c r="D298" s="94">
        <v>0.041924267002428905</v>
      </c>
      <c r="E298" s="94">
        <v>0.05684329072841621</v>
      </c>
      <c r="F298" s="94">
        <v>0.06896162540670336</v>
      </c>
      <c r="G298" s="94">
        <v>0.08410962502950192</v>
      </c>
      <c r="H298" s="94">
        <v>0.10999238296635716</v>
      </c>
      <c r="I298" s="94">
        <v>0.1679492408661859</v>
      </c>
      <c r="J298" s="94">
        <v>0.47593568117954493</v>
      </c>
      <c r="K298" s="94">
        <v>-3.961664507203982E-18</v>
      </c>
      <c r="L298" s="94">
        <v>1.0971732415255969E-17</v>
      </c>
      <c r="M298" s="94">
        <v>1.5924169381512253E-18</v>
      </c>
      <c r="N298" s="94">
        <v>-1.8792106506555189E-19</v>
      </c>
      <c r="O298" s="94">
        <v>-6.294030910546066E-19</v>
      </c>
      <c r="P298" s="94">
        <v>0</v>
      </c>
      <c r="Q298" s="94">
        <v>0</v>
      </c>
      <c r="R298" s="94">
        <v>-8.502596783042303E-19</v>
      </c>
      <c r="S298" s="94">
        <v>0</v>
      </c>
      <c r="T298" s="94">
        <v>0</v>
      </c>
      <c r="U298" s="94">
        <v>0</v>
      </c>
      <c r="W298" s="95">
        <f t="shared" si="58"/>
        <v>9</v>
      </c>
      <c r="X298" s="97">
        <f>Data_File!G33</f>
        <v>6.218267922962738</v>
      </c>
      <c r="Z298" s="95">
        <f t="shared" si="59"/>
        <v>9</v>
      </c>
      <c r="AA298" s="94">
        <v>4.945761856555426</v>
      </c>
    </row>
    <row r="299" spans="1:27" ht="12.75">
      <c r="A299" s="95">
        <f t="shared" si="57"/>
        <v>10</v>
      </c>
      <c r="B299" s="94">
        <v>0.008804487939485739</v>
      </c>
      <c r="C299" s="94">
        <v>0.021211448817609835</v>
      </c>
      <c r="D299" s="94">
        <v>0.03885994513538238</v>
      </c>
      <c r="E299" s="94">
        <v>0.05133365570987136</v>
      </c>
      <c r="F299" s="94">
        <v>0.05921743317733741</v>
      </c>
      <c r="G299" s="94">
        <v>0.0667167470944825</v>
      </c>
      <c r="H299" s="94">
        <v>0.07891996014989644</v>
      </c>
      <c r="I299" s="94">
        <v>0.10832440616118144</v>
      </c>
      <c r="J299" s="94">
        <v>0.1675882552224971</v>
      </c>
      <c r="K299" s="94">
        <v>0.5582643926031204</v>
      </c>
      <c r="L299" s="94">
        <v>1.7709916547850706E-16</v>
      </c>
      <c r="M299" s="94">
        <v>-1.0184902042941096E-18</v>
      </c>
      <c r="N299" s="94">
        <v>-1.4910538015788402E-18</v>
      </c>
      <c r="O299" s="94">
        <v>-8.57621069174949E-19</v>
      </c>
      <c r="P299" s="94">
        <v>0</v>
      </c>
      <c r="Q299" s="94">
        <v>0</v>
      </c>
      <c r="R299" s="94">
        <v>-8.09400514587593E-19</v>
      </c>
      <c r="S299" s="94">
        <v>0</v>
      </c>
      <c r="T299" s="94">
        <v>0</v>
      </c>
      <c r="U299" s="94">
        <v>0</v>
      </c>
      <c r="W299" s="95">
        <f t="shared" si="58"/>
        <v>10</v>
      </c>
      <c r="X299" s="97">
        <f>Data_File!G34</f>
        <v>8.59723437881285</v>
      </c>
      <c r="Z299" s="95">
        <f t="shared" si="59"/>
        <v>10</v>
      </c>
      <c r="AA299" s="94">
        <v>7.3149935087267925</v>
      </c>
    </row>
    <row r="300" spans="1:27" ht="12.75">
      <c r="A300" s="95">
        <f t="shared" si="57"/>
        <v>11</v>
      </c>
      <c r="B300" s="94">
        <v>0.007758103957602458</v>
      </c>
      <c r="C300" s="94">
        <v>0.01862095257152596</v>
      </c>
      <c r="D300" s="94">
        <v>0.033808313852933924</v>
      </c>
      <c r="E300" s="94">
        <v>0.04401485563334351</v>
      </c>
      <c r="F300" s="94">
        <v>0.049163909311828125</v>
      </c>
      <c r="G300" s="94">
        <v>0.05220607555784995</v>
      </c>
      <c r="H300" s="94">
        <v>0.05632356707566233</v>
      </c>
      <c r="I300" s="94">
        <v>0.06770147788432035</v>
      </c>
      <c r="J300" s="94">
        <v>0.092201189482223</v>
      </c>
      <c r="K300" s="94">
        <v>0.15446571671095288</v>
      </c>
      <c r="L300" s="94">
        <v>0.6364135594880842</v>
      </c>
      <c r="M300" s="94">
        <v>2.092465488005873E-18</v>
      </c>
      <c r="N300" s="94">
        <v>-1.077159197485321E-18</v>
      </c>
      <c r="O300" s="94">
        <v>-4.774768545594017E-19</v>
      </c>
      <c r="P300" s="94">
        <v>0</v>
      </c>
      <c r="Q300" s="94">
        <v>0</v>
      </c>
      <c r="R300" s="94">
        <v>-7.132059670767918E-19</v>
      </c>
      <c r="S300" s="94">
        <v>0</v>
      </c>
      <c r="T300" s="94">
        <v>0</v>
      </c>
      <c r="U300" s="94">
        <v>0</v>
      </c>
      <c r="W300" s="95">
        <f t="shared" si="58"/>
        <v>11</v>
      </c>
      <c r="X300" s="97">
        <f>Data_File!G35</f>
        <v>13.004844364384482</v>
      </c>
      <c r="Z300" s="95">
        <f t="shared" si="59"/>
        <v>11</v>
      </c>
      <c r="AA300" s="94">
        <v>11.258057018924308</v>
      </c>
    </row>
    <row r="301" spans="1:27" ht="12.75">
      <c r="A301" s="95">
        <f t="shared" si="57"/>
        <v>12</v>
      </c>
      <c r="B301" s="94">
        <v>0.006840809035132622</v>
      </c>
      <c r="C301" s="94">
        <v>0.016395392398979247</v>
      </c>
      <c r="D301" s="94">
        <v>0.029653627339206956</v>
      </c>
      <c r="E301" s="94">
        <v>0.038339811875783614</v>
      </c>
      <c r="F301" s="94">
        <v>0.042107946824106346</v>
      </c>
      <c r="G301" s="94">
        <v>0.04320501460385051</v>
      </c>
      <c r="H301" s="94">
        <v>0.04381627703935376</v>
      </c>
      <c r="I301" s="94">
        <v>0.04701077859837888</v>
      </c>
      <c r="J301" s="94">
        <v>0.05516595078880693</v>
      </c>
      <c r="K301" s="94">
        <v>0.07883274318038569</v>
      </c>
      <c r="L301" s="94">
        <v>0.13756667565668868</v>
      </c>
      <c r="M301" s="94">
        <v>0.7057043449765487</v>
      </c>
      <c r="N301" s="94">
        <v>1.4810232428217893E-18</v>
      </c>
      <c r="O301" s="94">
        <v>-1.208844193658785E-18</v>
      </c>
      <c r="P301" s="94">
        <v>0</v>
      </c>
      <c r="Q301" s="94">
        <v>0</v>
      </c>
      <c r="R301" s="94">
        <v>-6.288786345420981E-19</v>
      </c>
      <c r="S301" s="94">
        <v>0</v>
      </c>
      <c r="T301" s="94">
        <v>0</v>
      </c>
      <c r="U301" s="94">
        <v>0</v>
      </c>
      <c r="W301" s="95">
        <f t="shared" si="58"/>
        <v>12</v>
      </c>
      <c r="X301" s="97">
        <f>Data_File!G36</f>
        <v>14.008716887765786</v>
      </c>
      <c r="Z301" s="95">
        <f t="shared" si="59"/>
        <v>12</v>
      </c>
      <c r="AA301" s="94">
        <v>13.550756883112454</v>
      </c>
    </row>
    <row r="302" spans="1:27" ht="12.75">
      <c r="A302" s="95">
        <f t="shared" si="57"/>
        <v>13</v>
      </c>
      <c r="B302" s="94">
        <v>0.005896245728848726</v>
      </c>
      <c r="C302" s="94">
        <v>0.014126175629891602</v>
      </c>
      <c r="D302" s="94">
        <v>0.02551844300463557</v>
      </c>
      <c r="E302" s="94">
        <v>0.032903780480061595</v>
      </c>
      <c r="F302" s="94">
        <v>0.035863091808459036</v>
      </c>
      <c r="G302" s="94">
        <v>0.03618856525356495</v>
      </c>
      <c r="H302" s="94">
        <v>0.035513184681446486</v>
      </c>
      <c r="I302" s="94">
        <v>0.03549128177344718</v>
      </c>
      <c r="J302" s="94">
        <v>0.03696907843261643</v>
      </c>
      <c r="K302" s="94">
        <v>0.04415734727446541</v>
      </c>
      <c r="L302" s="94">
        <v>0.06406841628315418</v>
      </c>
      <c r="M302" s="94">
        <v>0.11766133154016178</v>
      </c>
      <c r="N302" s="94">
        <v>0.7652591315156226</v>
      </c>
      <c r="O302" s="94">
        <v>-2.5843491559642257E-17</v>
      </c>
      <c r="P302" s="94">
        <v>0</v>
      </c>
      <c r="Q302" s="94">
        <v>0</v>
      </c>
      <c r="R302" s="94">
        <v>-5.420445072958507E-19</v>
      </c>
      <c r="S302" s="94">
        <v>0</v>
      </c>
      <c r="T302" s="94">
        <v>0</v>
      </c>
      <c r="U302" s="94">
        <v>0</v>
      </c>
      <c r="W302" s="95">
        <f t="shared" si="58"/>
        <v>13</v>
      </c>
      <c r="X302" s="97">
        <f>Data_File!G37</f>
        <v>12.555612849046476</v>
      </c>
      <c r="Z302" s="95">
        <f t="shared" si="59"/>
        <v>13</v>
      </c>
      <c r="AA302" s="94">
        <v>13.398299207756923</v>
      </c>
    </row>
    <row r="303" spans="1:27" ht="12.75">
      <c r="A303" s="95">
        <f t="shared" si="57"/>
        <v>14</v>
      </c>
      <c r="B303" s="94">
        <v>0.005043758435338219</v>
      </c>
      <c r="C303" s="94">
        <v>0.012083921932894981</v>
      </c>
      <c r="D303" s="94">
        <v>0.0218254802361586</v>
      </c>
      <c r="E303" s="94">
        <v>0.028118350999125852</v>
      </c>
      <c r="F303" s="94">
        <v>0.030554516182116576</v>
      </c>
      <c r="G303" s="94">
        <v>0.030614129083412767</v>
      </c>
      <c r="H303" s="94">
        <v>0.02960507483590069</v>
      </c>
      <c r="I303" s="94">
        <v>0.0285792462421659</v>
      </c>
      <c r="J303" s="94">
        <v>0.027807868823646498</v>
      </c>
      <c r="K303" s="94">
        <v>0.029041570600168765</v>
      </c>
      <c r="L303" s="94">
        <v>0.034470900463832166</v>
      </c>
      <c r="M303" s="94">
        <v>0.05131878270615564</v>
      </c>
      <c r="N303" s="94">
        <v>0.09783093489376582</v>
      </c>
      <c r="O303" s="94">
        <v>0.814728831776004</v>
      </c>
      <c r="P303" s="94">
        <v>0</v>
      </c>
      <c r="Q303" s="94">
        <v>0</v>
      </c>
      <c r="R303" s="94">
        <v>-4.636749690643666E-19</v>
      </c>
      <c r="S303" s="94">
        <v>0</v>
      </c>
      <c r="T303" s="94">
        <v>0</v>
      </c>
      <c r="U303" s="94">
        <v>0</v>
      </c>
      <c r="W303" s="95">
        <f t="shared" si="58"/>
        <v>14</v>
      </c>
      <c r="X303" s="97">
        <f>Data_File!G38</f>
        <v>7.929469328819653</v>
      </c>
      <c r="Z303" s="95">
        <f t="shared" si="59"/>
        <v>14</v>
      </c>
      <c r="AA303" s="94">
        <v>9.863368700348389</v>
      </c>
    </row>
    <row r="304" spans="1:27" ht="12.75">
      <c r="A304" s="95">
        <f t="shared" si="57"/>
        <v>15</v>
      </c>
      <c r="B304" s="94">
        <v>0.004323405356253751</v>
      </c>
      <c r="C304" s="94">
        <v>0.01035932438941467</v>
      </c>
      <c r="D304" s="94">
        <v>0.01871368453917821</v>
      </c>
      <c r="E304" s="94">
        <v>0.02410630343418596</v>
      </c>
      <c r="F304" s="94">
        <v>0.026166852096385806</v>
      </c>
      <c r="G304" s="94">
        <v>0.026145868578975495</v>
      </c>
      <c r="H304" s="94">
        <v>0.025135871694538015</v>
      </c>
      <c r="I304" s="94">
        <v>0.023916127701713474</v>
      </c>
      <c r="J304" s="94">
        <v>0.022562829679668273</v>
      </c>
      <c r="K304" s="94">
        <v>0.02193485385543381</v>
      </c>
      <c r="L304" s="94">
        <v>0.022572266825725773</v>
      </c>
      <c r="M304" s="94">
        <v>0.026874319032198724</v>
      </c>
      <c r="N304" s="94">
        <v>0.04065521573340147</v>
      </c>
      <c r="O304" s="94">
        <v>0.07997357849517317</v>
      </c>
      <c r="P304" s="94">
        <v>0.8550927514825538</v>
      </c>
      <c r="Q304" s="94">
        <v>0</v>
      </c>
      <c r="R304" s="94">
        <v>-3.974525882891466E-19</v>
      </c>
      <c r="S304" s="94">
        <v>0</v>
      </c>
      <c r="T304" s="94">
        <v>0</v>
      </c>
      <c r="U304" s="94">
        <v>0</v>
      </c>
      <c r="W304" s="95">
        <f t="shared" si="58"/>
        <v>15</v>
      </c>
      <c r="X304" s="97">
        <f>Data_File!G39</f>
        <v>5.403191362703431</v>
      </c>
      <c r="Z304" s="95">
        <f t="shared" si="59"/>
        <v>15</v>
      </c>
      <c r="AA304" s="94">
        <v>7.2610089853144855</v>
      </c>
    </row>
    <row r="305" spans="1:27" ht="12.75">
      <c r="A305" s="95">
        <f t="shared" si="57"/>
        <v>16</v>
      </c>
      <c r="B305" s="94">
        <v>0.0036693868563348886</v>
      </c>
      <c r="C305" s="94">
        <v>0.00879346476804832</v>
      </c>
      <c r="D305" s="94">
        <v>0.01588909347821499</v>
      </c>
      <c r="E305" s="94">
        <v>0.02047027445721783</v>
      </c>
      <c r="F305" s="94">
        <v>0.022213279762754112</v>
      </c>
      <c r="G305" s="94">
        <v>0.02217346101659956</v>
      </c>
      <c r="H305" s="94">
        <v>0.021270231005887208</v>
      </c>
      <c r="I305" s="94">
        <v>0.020127348109007848</v>
      </c>
      <c r="J305" s="94">
        <v>0.018759649186220084</v>
      </c>
      <c r="K305" s="94">
        <v>0.017691423864652833</v>
      </c>
      <c r="L305" s="94">
        <v>0.016949812202390557</v>
      </c>
      <c r="M305" s="94">
        <v>0.01734260069785165</v>
      </c>
      <c r="N305" s="94">
        <v>0.0206021648421415</v>
      </c>
      <c r="O305" s="94">
        <v>0.03157241442168779</v>
      </c>
      <c r="P305" s="94">
        <v>0.06403399974243773</v>
      </c>
      <c r="Q305" s="94">
        <v>0.8874734511366758</v>
      </c>
      <c r="R305" s="94">
        <v>-8.325136509860808E-18</v>
      </c>
      <c r="S305" s="94">
        <v>0</v>
      </c>
      <c r="T305" s="94">
        <v>0</v>
      </c>
      <c r="U305" s="94">
        <v>0</v>
      </c>
      <c r="W305" s="95">
        <f t="shared" si="58"/>
        <v>16</v>
      </c>
      <c r="X305" s="97">
        <f>Data_File!G40</f>
        <v>3.371854879254177</v>
      </c>
      <c r="Z305" s="95">
        <f t="shared" si="59"/>
        <v>16</v>
      </c>
      <c r="AA305" s="94">
        <v>5.000560185860598</v>
      </c>
    </row>
    <row r="306" spans="1:27" ht="12.75">
      <c r="A306" s="95">
        <f t="shared" si="57"/>
        <v>17</v>
      </c>
      <c r="B306" s="94">
        <v>0.0031289699407346383</v>
      </c>
      <c r="C306" s="94">
        <v>0.0074992431279112814</v>
      </c>
      <c r="D306" s="94">
        <v>0.013553526729713106</v>
      </c>
      <c r="E306" s="94">
        <v>0.0174640333367293</v>
      </c>
      <c r="F306" s="94">
        <v>0.01895016473236666</v>
      </c>
      <c r="G306" s="94">
        <v>0.018909866299453792</v>
      </c>
      <c r="H306" s="94">
        <v>0.018125455379317756</v>
      </c>
      <c r="I306" s="94">
        <v>0.01711810258535751</v>
      </c>
      <c r="J306" s="94">
        <v>0.015885355277475366</v>
      </c>
      <c r="K306" s="94">
        <v>0.014812473067061127</v>
      </c>
      <c r="L306" s="94">
        <v>0.013790916015028909</v>
      </c>
      <c r="M306" s="94">
        <v>0.013133377361392196</v>
      </c>
      <c r="N306" s="94">
        <v>0.013332577925992073</v>
      </c>
      <c r="O306" s="94">
        <v>0.01580910456590212</v>
      </c>
      <c r="P306" s="94">
        <v>0.024562740783358628</v>
      </c>
      <c r="Q306" s="94">
        <v>0.05079103718618838</v>
      </c>
      <c r="R306" s="94">
        <v>0.9131087041905914</v>
      </c>
      <c r="S306" s="94">
        <v>0</v>
      </c>
      <c r="T306" s="94">
        <v>0</v>
      </c>
      <c r="U306" s="94">
        <v>0</v>
      </c>
      <c r="W306" s="95">
        <f t="shared" si="58"/>
        <v>17</v>
      </c>
      <c r="X306" s="97">
        <f>Data_File!G41</f>
        <v>2.160162707099266</v>
      </c>
      <c r="Z306" s="95">
        <f t="shared" si="59"/>
        <v>17</v>
      </c>
      <c r="AA306" s="94">
        <v>3.5174406294826897</v>
      </c>
    </row>
    <row r="307" spans="1:27" ht="12.75">
      <c r="A307" s="95">
        <f t="shared" si="57"/>
        <v>18</v>
      </c>
      <c r="B307" s="94">
        <v>0.0014904394420396372</v>
      </c>
      <c r="C307" s="94">
        <v>0.003573099146448655</v>
      </c>
      <c r="D307" s="94">
        <v>0.0064611522353339446</v>
      </c>
      <c r="E307" s="94">
        <v>0.008329048594986066</v>
      </c>
      <c r="F307" s="94">
        <v>0.009039534331592769</v>
      </c>
      <c r="G307" s="94">
        <v>0.009019751010602484</v>
      </c>
      <c r="H307" s="94">
        <v>0.008643229990990875</v>
      </c>
      <c r="I307" s="94">
        <v>0.008157705728891074</v>
      </c>
      <c r="J307" s="94">
        <v>0.00755980444449067</v>
      </c>
      <c r="K307" s="94">
        <v>0.007024637622436991</v>
      </c>
      <c r="L307" s="94">
        <v>0.006481299033869625</v>
      </c>
      <c r="M307" s="94">
        <v>0.0060245357200416905</v>
      </c>
      <c r="N307" s="94">
        <v>0.005746544029859635</v>
      </c>
      <c r="O307" s="94">
        <v>0.005931061568083873</v>
      </c>
      <c r="P307" s="94">
        <v>0.007357380258411705</v>
      </c>
      <c r="Q307" s="94">
        <v>0.012202127963108378</v>
      </c>
      <c r="R307" s="94">
        <v>0.02691922512424627</v>
      </c>
      <c r="S307" s="94">
        <v>0.9289976488560415</v>
      </c>
      <c r="T307" s="94">
        <v>0</v>
      </c>
      <c r="U307" s="94">
        <v>0</v>
      </c>
      <c r="W307" s="95">
        <f t="shared" si="58"/>
        <v>18</v>
      </c>
      <c r="X307" s="97">
        <f>Data_File!G42</f>
        <v>0.6891795566492425</v>
      </c>
      <c r="Z307" s="95">
        <f t="shared" si="59"/>
        <v>18</v>
      </c>
      <c r="AA307" s="94">
        <v>1.3456334711764621</v>
      </c>
    </row>
    <row r="308" spans="1:27" ht="12.75">
      <c r="A308" s="95">
        <f t="shared" si="57"/>
        <v>19</v>
      </c>
      <c r="B308" s="94">
        <v>0.0012672655713004133</v>
      </c>
      <c r="C308" s="94">
        <v>0.0030378742924419555</v>
      </c>
      <c r="D308" s="94">
        <v>0.005492586124276055</v>
      </c>
      <c r="E308" s="94">
        <v>0.007079644616505565</v>
      </c>
      <c r="F308" s="94">
        <v>0.0076830082978420755</v>
      </c>
      <c r="G308" s="94">
        <v>0.007665870297807409</v>
      </c>
      <c r="H308" s="94">
        <v>0.007345452239934769</v>
      </c>
      <c r="I308" s="94">
        <v>0.0069317128629946545</v>
      </c>
      <c r="J308" s="94">
        <v>0.006421232673104349</v>
      </c>
      <c r="K308" s="94">
        <v>0.005960461756007174</v>
      </c>
      <c r="L308" s="94">
        <v>0.0054842298300585846</v>
      </c>
      <c r="M308" s="94">
        <v>0.005058870761250223</v>
      </c>
      <c r="N308" s="94">
        <v>0.004725446544152856</v>
      </c>
      <c r="O308" s="94">
        <v>0.0046220360255992965</v>
      </c>
      <c r="P308" s="94">
        <v>0.005115143393318533</v>
      </c>
      <c r="Q308" s="94">
        <v>0.007224093820412669</v>
      </c>
      <c r="R308" s="94">
        <v>0.013977995776695007</v>
      </c>
      <c r="S308" s="94">
        <v>0.021037763828057443</v>
      </c>
      <c r="T308" s="94">
        <v>0.938107011237723</v>
      </c>
      <c r="U308" s="94">
        <v>0</v>
      </c>
      <c r="W308" s="95">
        <f t="shared" si="58"/>
        <v>19</v>
      </c>
      <c r="X308" s="97">
        <f>Data_File!G43</f>
        <v>0.4605278809796971</v>
      </c>
      <c r="Z308" s="95">
        <f t="shared" si="59"/>
        <v>19</v>
      </c>
      <c r="AA308" s="94">
        <v>1.0034524219146945</v>
      </c>
    </row>
    <row r="309" spans="1:27" ht="12.75">
      <c r="A309" s="95">
        <f t="shared" si="57"/>
        <v>20</v>
      </c>
      <c r="B309" s="94">
        <v>0.014441623742640797</v>
      </c>
      <c r="C309" s="94">
        <v>0.034621429899920786</v>
      </c>
      <c r="D309" s="94">
        <v>0.06260454189558873</v>
      </c>
      <c r="E309" s="94">
        <v>0.08070217580975692</v>
      </c>
      <c r="F309" s="94">
        <v>0.08758355564834108</v>
      </c>
      <c r="G309" s="94">
        <v>0.08738602338294066</v>
      </c>
      <c r="H309" s="94">
        <v>0.08372621740137509</v>
      </c>
      <c r="I309" s="94">
        <v>0.07899396491574318</v>
      </c>
      <c r="J309" s="94">
        <v>0.07314310480970776</v>
      </c>
      <c r="K309" s="94">
        <v>0.06781437946531654</v>
      </c>
      <c r="L309" s="94">
        <v>0.06220192420116888</v>
      </c>
      <c r="M309" s="94">
        <v>0.056881837204399543</v>
      </c>
      <c r="N309" s="94">
        <v>0.05184798451506345</v>
      </c>
      <c r="O309" s="94">
        <v>0.04736297314754889</v>
      </c>
      <c r="P309" s="94">
        <v>0.04383798433991992</v>
      </c>
      <c r="Q309" s="94">
        <v>0.04230928989361438</v>
      </c>
      <c r="R309" s="94">
        <v>0.04599407490846774</v>
      </c>
      <c r="S309" s="94">
        <v>0.04996458731590103</v>
      </c>
      <c r="T309" s="94">
        <v>0.061892988762277</v>
      </c>
      <c r="U309" s="94">
        <v>1</v>
      </c>
      <c r="W309" s="95">
        <f t="shared" si="58"/>
        <v>20</v>
      </c>
      <c r="X309" s="97">
        <f>Data_File!G44</f>
        <v>2.9738531115231286</v>
      </c>
      <c r="Z309" s="95">
        <f t="shared" si="59"/>
        <v>20</v>
      </c>
      <c r="AA309" s="94">
        <v>8.843054351395782</v>
      </c>
    </row>
    <row r="311" spans="24:27" ht="12.75">
      <c r="X311" s="97">
        <f>SUM(X290:X309)</f>
        <v>99.99999999999997</v>
      </c>
      <c r="AA311" s="97">
        <f>SUM(AA290:AA309)</f>
        <v>100.00000000000003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Levi Guzman</cp:lastModifiedBy>
  <cp:lastPrinted>2006-09-21T15:36:05Z</cp:lastPrinted>
  <dcterms:created xsi:type="dcterms:W3CDTF">1998-09-18T01:11:39Z</dcterms:created>
  <dcterms:modified xsi:type="dcterms:W3CDTF">2010-03-14T17:51:07Z</dcterms:modified>
  <cp:category/>
  <cp:version/>
  <cp:contentType/>
  <cp:contentStatus/>
</cp:coreProperties>
</file>