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745" activeTab="4"/>
  </bookViews>
  <sheets>
    <sheet name="About ..." sheetId="1" r:id="rId1"/>
    <sheet name="Control_Panel" sheetId="2" r:id="rId2"/>
    <sheet name="Data_File" sheetId="3" r:id="rId3"/>
    <sheet name="Flowsheet" sheetId="4" r:id="rId4"/>
    <sheet name="Reports" sheetId="5" r:id="rId5"/>
    <sheet name="C" sheetId="6" r:id="rId6"/>
  </sheets>
  <externalReferences>
    <externalReference r:id="rId9"/>
    <externalReference r:id="rId10"/>
    <externalReference r:id="rId11"/>
    <externalReference r:id="rId12"/>
  </externalReferences>
  <definedNames>
    <definedName name="Actual" localSheetId="0">'[2]Data_File'!#REF!</definedName>
    <definedName name="Actual" localSheetId="1">'Control_Panel'!#REF!</definedName>
    <definedName name="Actual" localSheetId="3">'[3]Data_File'!#REF!</definedName>
    <definedName name="Actual">'Data_File'!#REF!</definedName>
    <definedName name="BIJ" localSheetId="0">'[1]J&amp;T'!$B$35:$Z$59</definedName>
    <definedName name="BIJ">#REF!</definedName>
    <definedName name="Delta" localSheetId="0">'[2]Data_File'!#REF!</definedName>
    <definedName name="Delta" localSheetId="1">'Control_Panel'!#REF!</definedName>
    <definedName name="Delta" localSheetId="3">'[3]Data_File'!#REF!</definedName>
    <definedName name="Delta">'Data_File'!#REF!</definedName>
    <definedName name="Guess" localSheetId="0">'[2]Data_File'!#REF!</definedName>
    <definedName name="Guess" localSheetId="1">'Control_Panel'!#REF!</definedName>
    <definedName name="Guess" localSheetId="3">'[4]Data_File'!$D$21</definedName>
    <definedName name="Guess">'Data_File'!#REF!</definedName>
    <definedName name="I" localSheetId="0">'[1]J&amp;T'!$A$66:$A$90</definedName>
    <definedName name="I">#REF!</definedName>
    <definedName name="J" localSheetId="0">'[1]J&amp;T'!$B$65:$Z$65</definedName>
    <definedName name="J">#REF!</definedName>
    <definedName name="_xlnm.Print_Area" localSheetId="0">'About ...'!$B$1:$L$110</definedName>
    <definedName name="_xlnm.Print_Area" localSheetId="1">'Control_Panel'!$B$2:$Q$31</definedName>
    <definedName name="_xlnm.Print_Area" localSheetId="2">'Data_File'!$B$2:$V$51</definedName>
    <definedName name="_xlnm.Print_Area" localSheetId="3">'Flowsheet'!$B$2:$O$31</definedName>
    <definedName name="_xlnm.Print_Area" localSheetId="4">'Reports'!$A$1:$J$143</definedName>
    <definedName name="SIE" localSheetId="0">'[1]J&amp;T'!$B$95:$Z$95</definedName>
    <definedName name="SIE">#REF!</definedName>
    <definedName name="solver_adj" localSheetId="1" hidden="1">'Control_Panel'!$C$21:$F$21</definedName>
    <definedName name="solver_adj" localSheetId="2" hidden="1">'Data_File'!$C$55:$F$55</definedName>
    <definedName name="solver_adj" localSheetId="4" hidden="1">'Reports'!$A$15:$C$15</definedName>
    <definedName name="solver_cvg" localSheetId="1" hidden="1">0.001</definedName>
    <definedName name="solver_cvg" localSheetId="2" hidden="1">0.001</definedName>
    <definedName name="solver_drv" localSheetId="1" hidden="1">2</definedName>
    <definedName name="solver_drv" localSheetId="2" hidden="1">1</definedName>
    <definedName name="solver_drv" localSheetId="4" hidden="1">1</definedName>
    <definedName name="solver_eng" localSheetId="1" hidden="1">1</definedName>
    <definedName name="solver_est" localSheetId="1" hidden="1">1</definedName>
    <definedName name="solver_est" localSheetId="2" hidden="1">1</definedName>
    <definedName name="solver_est" localSheetId="4" hidden="1">1</definedName>
    <definedName name="solver_itr" localSheetId="1" hidden="1">100</definedName>
    <definedName name="solver_itr" localSheetId="2" hidden="1">100</definedName>
    <definedName name="solver_itr" localSheetId="4" hidden="1">100</definedName>
    <definedName name="solver_lhs1" localSheetId="1" hidden="1">'Control_Panel'!$F$21</definedName>
    <definedName name="solver_lhs1" localSheetId="2" hidden="1">'Data_File'!$C$55</definedName>
    <definedName name="solver_lin" localSheetId="1" hidden="1">2</definedName>
    <definedName name="solver_lin" localSheetId="2" hidden="1">2</definedName>
    <definedName name="solver_lin" localSheetId="4" hidden="1">0</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eg" localSheetId="2" hidden="1">1</definedName>
    <definedName name="solver_nod" localSheetId="1" hidden="1">2147483647</definedName>
    <definedName name="solver_num" localSheetId="1" hidden="1">1</definedName>
    <definedName name="solver_num" localSheetId="2" hidden="1">0</definedName>
    <definedName name="solver_num" localSheetId="4" hidden="1">0</definedName>
    <definedName name="solver_nwt" localSheetId="1" hidden="1">1</definedName>
    <definedName name="solver_nwt" localSheetId="2" hidden="1">1</definedName>
    <definedName name="solver_nwt" localSheetId="4" hidden="1">1</definedName>
    <definedName name="solver_opt" localSheetId="1" hidden="1">'Control_Panel'!$E$23</definedName>
    <definedName name="solver_opt" localSheetId="2" hidden="1">'Data_File'!$E$57</definedName>
    <definedName name="solver_opt" localSheetId="4" hidden="1">'Reports'!$D$29</definedName>
    <definedName name="solver_pre" localSheetId="1" hidden="1">0.000001</definedName>
    <definedName name="solver_pre" localSheetId="2" hidden="1">0.000001</definedName>
    <definedName name="solver_pre" localSheetId="4" hidden="1">0.000001</definedName>
    <definedName name="solver_rbv" localSheetId="1" hidden="1">2</definedName>
    <definedName name="solver_rel1" localSheetId="1" hidden="1">1</definedName>
    <definedName name="solver_rel1" localSheetId="2" hidden="1">3</definedName>
    <definedName name="solver_rhs1" localSheetId="1" hidden="1">'Control_Panel'!$H$21</definedName>
    <definedName name="solver_rhs1" localSheetId="2" hidden="1">0</definedName>
    <definedName name="solver_rlx" localSheetId="1" hidden="1">2</definedName>
    <definedName name="solver_rsd" localSheetId="1" hidden="1">0</definedName>
    <definedName name="solver_scl" localSheetId="1" hidden="1">1</definedName>
    <definedName name="solver_scl" localSheetId="2" hidden="1">2</definedName>
    <definedName name="solver_scl" localSheetId="4" hidden="1">0</definedName>
    <definedName name="solver_sho" localSheetId="1" hidden="1">2</definedName>
    <definedName name="solver_sho" localSheetId="2" hidden="1">2</definedName>
    <definedName name="solver_sho" localSheetId="4" hidden="1">0</definedName>
    <definedName name="solver_ssz" localSheetId="1" hidden="1">100</definedName>
    <definedName name="solver_tim" localSheetId="1" hidden="1">100</definedName>
    <definedName name="solver_tim" localSheetId="2" hidden="1">100</definedName>
    <definedName name="solver_tim" localSheetId="4" hidden="1">100</definedName>
    <definedName name="solver_tol" localSheetId="1" hidden="1">0.05</definedName>
    <definedName name="solver_tol" localSheetId="2" hidden="1">0.05</definedName>
    <definedName name="solver_tol" localSheetId="4" hidden="1">0.05</definedName>
    <definedName name="solver_typ" localSheetId="1" hidden="1">2</definedName>
    <definedName name="solver_typ" localSheetId="2" hidden="1">2</definedName>
    <definedName name="solver_typ" localSheetId="4" hidden="1">2</definedName>
    <definedName name="solver_val" localSheetId="1" hidden="1">0</definedName>
    <definedName name="solver_val" localSheetId="2" hidden="1">0</definedName>
    <definedName name="solver_val" localSheetId="4" hidden="1">0</definedName>
    <definedName name="solver_ver" localSheetId="1" hidden="1">3</definedName>
    <definedName name="TIJ" localSheetId="0">'[1]J&amp;T'!$B$66:$Z$90</definedName>
    <definedName name="TIJ">#REF!</definedName>
    <definedName name="TIJINV" localSheetId="0">'[1]J&amp;T'!$B$100:$U$119</definedName>
    <definedName name="TIJINV">#REF!</definedName>
  </definedNames>
  <calcPr fullCalcOnLoad="1"/>
</workbook>
</file>

<file path=xl/comments2.xml><?xml version="1.0" encoding="utf-8"?>
<comments xmlns="http://schemas.openxmlformats.org/spreadsheetml/2006/main">
  <authors>
    <author>Jaime E. Sep?lveda J.</author>
  </authors>
  <commentList>
    <comment ref="E13"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4"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 ref="E16"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17" authorId="0">
      <text>
        <r>
          <rPr>
            <b/>
            <sz val="8"/>
            <rFont val="Tahoma"/>
            <family val="2"/>
          </rPr>
          <t>Relative Weighting Factor</t>
        </r>
        <r>
          <rPr>
            <sz val="8"/>
            <rFont val="Tahoma"/>
            <family val="2"/>
          </rPr>
          <t xml:space="preserve"> of the size distribution analyses with respect to the % solids analyses.
</t>
        </r>
        <r>
          <rPr>
            <b/>
            <sz val="8"/>
            <rFont val="Tahoma"/>
            <family val="2"/>
          </rPr>
          <t>Default Value : 1</t>
        </r>
      </text>
    </comment>
    <comment ref="E23"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C21:F21</t>
        </r>
        <r>
          <rPr>
            <sz val="8"/>
            <rFont val="Tahoma"/>
            <family val="2"/>
          </rPr>
          <t>.</t>
        </r>
      </text>
    </comment>
    <comment ref="E26"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7"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8"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29"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30" authorId="0">
      <text>
        <r>
          <rPr>
            <sz val="8"/>
            <rFont val="Tahoma"/>
            <family val="2"/>
          </rPr>
          <t xml:space="preserve">See </t>
        </r>
        <r>
          <rPr>
            <b/>
            <sz val="8"/>
            <rFont val="Tahoma"/>
            <family val="2"/>
          </rPr>
          <t>Cyclosim_Single</t>
        </r>
        <r>
          <rPr>
            <sz val="8"/>
            <rFont val="Tahoma"/>
            <family val="2"/>
          </rPr>
          <t xml:space="preserve"> spreadsheet for further reference.</t>
        </r>
      </text>
    </comment>
    <comment ref="E12" authorId="0">
      <text>
        <r>
          <rPr>
            <b/>
            <sz val="8"/>
            <rFont val="Tahoma"/>
            <family val="2"/>
          </rPr>
          <t>Relative Weighting Factor</t>
        </r>
        <r>
          <rPr>
            <sz val="8"/>
            <rFont val="Tahoma"/>
            <family val="2"/>
          </rPr>
          <t xml:space="preserve"> of this sample with respect to the measurements associated with the other 2 streams.
</t>
        </r>
        <r>
          <rPr>
            <b/>
            <sz val="8"/>
            <rFont val="Tahoma"/>
            <family val="2"/>
          </rPr>
          <t>Default Value : 1</t>
        </r>
      </text>
    </comment>
  </commentList>
</comments>
</file>

<file path=xl/comments3.xml><?xml version="1.0" encoding="utf-8"?>
<comments xmlns="http://schemas.openxmlformats.org/spreadsheetml/2006/main">
  <authors>
    <author>jsepulveda</author>
    <author>Jaime E. Sep?lveda J.</author>
  </authors>
  <commentList>
    <comment ref="I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L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R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U25" authorId="0">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K13" authorId="1">
      <text>
        <r>
          <rPr>
            <sz val="8"/>
            <rFont val="Tahoma"/>
            <family val="2"/>
          </rPr>
          <t xml:space="preserve">Represents the so-called </t>
        </r>
        <r>
          <rPr>
            <b/>
            <sz val="8"/>
            <rFont val="Tahoma"/>
            <family val="2"/>
          </rPr>
          <t>Dynamic Angle of Repose (or Lift Angle)</t>
        </r>
        <r>
          <rPr>
            <sz val="8"/>
            <rFont val="Tahoma"/>
            <family val="2"/>
          </rPr>
          <t xml:space="preserve"> adopted during steady operation by the top surface of the mill charge ("the kidney") with respect to the horizontal.  See </t>
        </r>
        <r>
          <rPr>
            <b/>
            <sz val="8"/>
            <rFont val="Tahoma"/>
            <family val="2"/>
          </rPr>
          <t>Mill Power_Ball Mills</t>
        </r>
        <r>
          <rPr>
            <sz val="8"/>
            <rFont val="Tahoma"/>
            <family val="2"/>
          </rPr>
          <t xml:space="preserve"> for further details.</t>
        </r>
      </text>
    </comment>
    <comment ref="L10"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Ball Charge</t>
        </r>
        <r>
          <rPr>
            <sz val="8"/>
            <rFont val="Tahoma"/>
            <family val="2"/>
          </rPr>
          <t>.</t>
        </r>
      </text>
    </comment>
    <comment ref="L11"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Overfilling Slurry</t>
        </r>
        <r>
          <rPr>
            <sz val="8"/>
            <rFont val="Tahoma"/>
            <family val="2"/>
          </rPr>
          <t xml:space="preserve"> on top of the "kidney".</t>
        </r>
      </text>
    </comment>
    <comment ref="L12" authorId="1">
      <text>
        <r>
          <rPr>
            <sz val="8"/>
            <rFont val="Tahoma"/>
            <family val="2"/>
          </rPr>
          <t xml:space="preserve">Component of the </t>
        </r>
        <r>
          <rPr>
            <b/>
            <sz val="8"/>
            <rFont val="Tahoma"/>
            <family val="2"/>
          </rPr>
          <t>Total Mill Power Draw</t>
        </r>
        <r>
          <rPr>
            <sz val="8"/>
            <rFont val="Tahoma"/>
            <family val="2"/>
          </rPr>
          <t xml:space="preserve"> </t>
        </r>
        <r>
          <rPr>
            <sz val="8"/>
            <color indexed="10"/>
            <rFont val="Tahoma"/>
            <family val="2"/>
          </rPr>
          <t>(Cell L13)</t>
        </r>
        <r>
          <rPr>
            <sz val="8"/>
            <rFont val="Tahoma"/>
            <family val="2"/>
          </rPr>
          <t xml:space="preserve"> contributed by the </t>
        </r>
        <r>
          <rPr>
            <b/>
            <sz val="8"/>
            <rFont val="Tahoma"/>
            <family val="2"/>
          </rPr>
          <t>Interstitial Slurry</t>
        </r>
        <r>
          <rPr>
            <sz val="8"/>
            <rFont val="Tahoma"/>
            <family val="2"/>
          </rPr>
          <t xml:space="preserve"> in the ball charge.</t>
        </r>
      </text>
    </comment>
    <comment ref="L13" authorId="0">
      <text>
        <r>
          <rPr>
            <b/>
            <sz val="8"/>
            <rFont val="Tahoma"/>
            <family val="0"/>
          </rPr>
          <t>Net Mill Power Draw</t>
        </r>
        <r>
          <rPr>
            <sz val="8"/>
            <rFont val="Tahoma"/>
            <family val="2"/>
          </rPr>
          <t xml:space="preserve">.
See </t>
        </r>
        <r>
          <rPr>
            <b/>
            <sz val="8"/>
            <rFont val="Tahoma"/>
            <family val="0"/>
          </rPr>
          <t>About ...</t>
        </r>
        <r>
          <rPr>
            <sz val="8"/>
            <rFont val="Tahoma"/>
            <family val="2"/>
          </rPr>
          <t xml:space="preserve"> in the </t>
        </r>
        <r>
          <rPr>
            <b/>
            <sz val="8"/>
            <rFont val="Tahoma"/>
            <family val="0"/>
          </rPr>
          <t>Mill Power_Ball Mills</t>
        </r>
        <r>
          <rPr>
            <sz val="8"/>
            <rFont val="Tahoma"/>
            <family val="2"/>
          </rPr>
          <t xml:space="preserve"> spreadsheet.</t>
        </r>
      </text>
    </comment>
    <comment ref="S13" authorId="1">
      <text>
        <r>
          <rPr>
            <sz val="8"/>
            <rFont val="Tahoma"/>
            <family val="2"/>
          </rPr>
          <t xml:space="preserve">Corresponds to the ratio between the </t>
        </r>
        <r>
          <rPr>
            <b/>
            <sz val="8"/>
            <rFont val="Tahoma"/>
            <family val="2"/>
          </rPr>
          <t>Total Charge Weight</t>
        </r>
        <r>
          <rPr>
            <sz val="8"/>
            <rFont val="Tahoma"/>
            <family val="2"/>
          </rPr>
          <t xml:space="preserve"> and its </t>
        </r>
        <r>
          <rPr>
            <b/>
            <sz val="8"/>
            <rFont val="Tahoma"/>
            <family val="2"/>
          </rPr>
          <t>Apparent Volume</t>
        </r>
        <r>
          <rPr>
            <sz val="8"/>
            <rFont val="Tahoma"/>
            <family val="2"/>
          </rPr>
          <t xml:space="preserve"> (including interstitial voids).</t>
        </r>
      </text>
    </comment>
  </commentList>
</comments>
</file>

<file path=xl/sharedStrings.xml><?xml version="1.0" encoding="utf-8"?>
<sst xmlns="http://schemas.openxmlformats.org/spreadsheetml/2006/main" count="339" uniqueCount="220">
  <si>
    <t>Mesh</t>
  </si>
  <si>
    <t>Opening</t>
  </si>
  <si>
    <t>i</t>
  </si>
  <si>
    <t>Mid-Size</t>
  </si>
  <si>
    <t>Mill</t>
  </si>
  <si>
    <t>Feed</t>
  </si>
  <si>
    <t>Fresh</t>
  </si>
  <si>
    <t>Discharge</t>
  </si>
  <si>
    <t>Cyclone</t>
  </si>
  <si>
    <t>U'flow</t>
  </si>
  <si>
    <t>O'flow</t>
  </si>
  <si>
    <t>Sump</t>
  </si>
  <si>
    <t>Water</t>
  </si>
  <si>
    <t>Total</t>
  </si>
  <si>
    <t>Slurry, tons</t>
  </si>
  <si>
    <t>Solids, tons</t>
  </si>
  <si>
    <t>Slurry, m3/hr</t>
  </si>
  <si>
    <t>Water, m3/hr</t>
  </si>
  <si>
    <t>% Solids (by volume)</t>
  </si>
  <si>
    <t>% Solids (by weight)</t>
  </si>
  <si>
    <t>Solids Density, ton/m3</t>
  </si>
  <si>
    <t>Slurry Density, ton/m3</t>
  </si>
  <si>
    <t>Classifier Constants</t>
  </si>
  <si>
    <t>a1</t>
  </si>
  <si>
    <t>a2</t>
  </si>
  <si>
    <t>a3</t>
  </si>
  <si>
    <t>a4</t>
  </si>
  <si>
    <t>l</t>
  </si>
  <si>
    <t>DC</t>
  </si>
  <si>
    <t>h</t>
  </si>
  <si>
    <t>DI</t>
  </si>
  <si>
    <t>DO</t>
  </si>
  <si>
    <t>DU</t>
  </si>
  <si>
    <t>Classifier Dimensions, inches.</t>
  </si>
  <si>
    <t>Slurry Split, S</t>
  </si>
  <si>
    <t>Circulating Load, CL</t>
  </si>
  <si>
    <t>Cyclone Pressure, lb/in2</t>
  </si>
  <si>
    <t>Corrected Cut Size, d50c, microns</t>
  </si>
  <si>
    <t>Water By-Pass</t>
  </si>
  <si>
    <t>Cyclone Pressure, ft</t>
  </si>
  <si>
    <t>Number of Cyclones</t>
  </si>
  <si>
    <t>Classifier</t>
  </si>
  <si>
    <t>Efficiency</t>
  </si>
  <si>
    <t>Plitt's Parameter</t>
  </si>
  <si>
    <t>Remarks</t>
  </si>
  <si>
    <t>Circuit Type</t>
  </si>
  <si>
    <t>Mill Dimensions and Operating Conditions</t>
  </si>
  <si>
    <t>% Critical</t>
  </si>
  <si>
    <t>Diameter</t>
  </si>
  <si>
    <t>Speed</t>
  </si>
  <si>
    <t>Lift</t>
  </si>
  <si>
    <t>Angle, (°)</t>
  </si>
  <si>
    <t>ft</t>
  </si>
  <si>
    <t>ton/m3</t>
  </si>
  <si>
    <t>Number</t>
  </si>
  <si>
    <t>% Retained</t>
  </si>
  <si>
    <t>% Passing</t>
  </si>
  <si>
    <t>ton/hr</t>
  </si>
  <si>
    <t>Actual</t>
  </si>
  <si>
    <t>Ore Density, ton/m3</t>
  </si>
  <si>
    <t>Size Distributions</t>
  </si>
  <si>
    <t>D80, microns</t>
  </si>
  <si>
    <t>Inlet</t>
  </si>
  <si>
    <t>Vortex</t>
  </si>
  <si>
    <t>Apex</t>
  </si>
  <si>
    <t>Number of Cyclones :</t>
  </si>
  <si>
    <t>Height</t>
  </si>
  <si>
    <t>Operating Conditions :</t>
  </si>
  <si>
    <t>D50 (corr.), microns</t>
  </si>
  <si>
    <t>Cyclone Dimensions, in :</t>
  </si>
  <si>
    <t>Feed Flowrate, m3/hr</t>
  </si>
  <si>
    <t>Pressure, psi</t>
  </si>
  <si>
    <t>Water By-Pass, %</t>
  </si>
  <si>
    <t>Solids By-Pass, %</t>
  </si>
  <si>
    <t>Circulating Load, %</t>
  </si>
  <si>
    <t>Corrected</t>
  </si>
  <si>
    <t>Classifier Efficiency</t>
  </si>
  <si>
    <t>Size Distributions, % Passing</t>
  </si>
  <si>
    <t>Speed, % Critical</t>
  </si>
  <si>
    <t>App. Density, ton/m3</t>
  </si>
  <si>
    <t>Charge Level, %</t>
  </si>
  <si>
    <t>Lift Angle, (°)</t>
  </si>
  <si>
    <t>Reduction Ratio</t>
  </si>
  <si>
    <t>Throughput, ton/hr</t>
  </si>
  <si>
    <t>Sp. Energy, KWH/ton</t>
  </si>
  <si>
    <t>Classifier Constants :</t>
  </si>
  <si>
    <t>Bpf</t>
  </si>
  <si>
    <t>Mass Balance around the Classifiers</t>
  </si>
  <si>
    <t>CLASSIFIERS PERFORMANCE</t>
  </si>
  <si>
    <t>BALL MILL PERFORMANCE</t>
  </si>
  <si>
    <t>Remarks :</t>
  </si>
  <si>
    <t xml:space="preserve">  Ore, ton/hr</t>
  </si>
  <si>
    <t xml:space="preserve">  Water, m3/hr</t>
  </si>
  <si>
    <t xml:space="preserve">  Slurry, ton/hr</t>
  </si>
  <si>
    <t xml:space="preserve">  Slurry, m3/hr</t>
  </si>
  <si>
    <t xml:space="preserve">  Slurry Dens., ton/m3</t>
  </si>
  <si>
    <t xml:space="preserve">  % Solids (by volume)</t>
  </si>
  <si>
    <t xml:space="preserve">  % Solids (by weight)</t>
  </si>
  <si>
    <r>
      <t>Particle Size Distributions</t>
    </r>
    <r>
      <rPr>
        <b/>
        <i/>
        <sz val="10"/>
        <rFont val="Arial"/>
        <family val="2"/>
      </rPr>
      <t xml:space="preserve"> </t>
    </r>
    <r>
      <rPr>
        <i/>
        <sz val="10"/>
        <rFont val="Arial"/>
        <family val="2"/>
      </rPr>
      <t>(Cummulative % Passing)</t>
    </r>
  </si>
  <si>
    <t xml:space="preserve">  Specific Energy Consumption :</t>
  </si>
  <si>
    <t xml:space="preserve">  Operational Work Index :</t>
  </si>
  <si>
    <t xml:space="preserve">  D80, microns</t>
  </si>
  <si>
    <t>Sample N°</t>
  </si>
  <si>
    <t>Fresh Feed</t>
  </si>
  <si>
    <t>% Solids</t>
  </si>
  <si>
    <t>Load</t>
  </si>
  <si>
    <t>CL (ave)</t>
  </si>
  <si>
    <t>Circ.</t>
  </si>
  <si>
    <t>Cyclone Feed (pre-adjusted)</t>
  </si>
  <si>
    <t>Lambda</t>
  </si>
  <si>
    <t>adj.</t>
  </si>
  <si>
    <t>psi</t>
  </si>
  <si>
    <t>Initial Guesses :</t>
  </si>
  <si>
    <t>Bpc</t>
  </si>
  <si>
    <t>d50c</t>
  </si>
  <si>
    <t>m</t>
  </si>
  <si>
    <t>Fines By-Pass</t>
  </si>
  <si>
    <t>Coarse By-Pass</t>
  </si>
  <si>
    <t>Cyclone U'flow</t>
  </si>
  <si>
    <t>Cyclone O'flow</t>
  </si>
  <si>
    <t>Cyclone O'flow (pre-adjusted)</t>
  </si>
  <si>
    <t>Overall</t>
  </si>
  <si>
    <t>ton/hr (model)</t>
  </si>
  <si>
    <t>(Weighted Error)^2</t>
  </si>
  <si>
    <t>Totals</t>
  </si>
  <si>
    <t>BALLBAL</t>
  </si>
  <si>
    <t>Grinding Circuit Mass Balance Estimator</t>
  </si>
  <si>
    <t>Mill Discharge</t>
  </si>
  <si>
    <t>Cyclone Feed</t>
  </si>
  <si>
    <t>Configuration : REVERSE</t>
  </si>
  <si>
    <t>Weighting Factor</t>
  </si>
  <si>
    <t>Cyclone U'flow (pre-adjusted)</t>
  </si>
  <si>
    <t>Weighting Factors</t>
  </si>
  <si>
    <t>% Passing (exp)</t>
  </si>
  <si>
    <t>% Passing (model)</t>
  </si>
  <si>
    <t>% Retained (model)</t>
  </si>
  <si>
    <t>REVERSE</t>
  </si>
  <si>
    <t xml:space="preserve"> </t>
  </si>
  <si>
    <t>Obj. Function :</t>
  </si>
  <si>
    <t>Size Distr.</t>
  </si>
  <si>
    <t>Streams :</t>
  </si>
  <si>
    <t xml:space="preserve">  Fresh Feed</t>
  </si>
  <si>
    <t xml:space="preserve">  Mill Discharge</t>
  </si>
  <si>
    <t xml:space="preserve">  Cyclone Feed</t>
  </si>
  <si>
    <t xml:space="preserve">  Cyclone U'flow</t>
  </si>
  <si>
    <t xml:space="preserve">  Cyclone O'flow</t>
  </si>
  <si>
    <t>W. Factors</t>
  </si>
  <si>
    <t>Circ. Load</t>
  </si>
  <si>
    <t>EXPERIMENTAL SIZE DISTRIBUTIONS</t>
  </si>
  <si>
    <t>Cyclone Dimensions (inches) and Operating Pressure (psi)</t>
  </si>
  <si>
    <t>NO DATA INPUT REQUIRED IN THIS SECTOR</t>
  </si>
  <si>
    <r>
      <t>Ballbal_Reverse :</t>
    </r>
    <r>
      <rPr>
        <b/>
        <sz val="12"/>
        <color indexed="8"/>
        <rFont val="Arial"/>
        <family val="2"/>
      </rPr>
      <t xml:space="preserve"> MASS BALANCE CLOSURE AROUND A BALL MILL GRINDING CIRCUIT</t>
    </r>
  </si>
  <si>
    <t>Note : Current calculations are not valid, if SOLVER has not been run after the last data modification.</t>
  </si>
  <si>
    <t xml:space="preserve">  % Solids</t>
  </si>
  <si>
    <t xml:space="preserve">  P80</t>
  </si>
  <si>
    <t xml:space="preserve">Circ. Load  </t>
  </si>
  <si>
    <t xml:space="preserve">  Bpf</t>
  </si>
  <si>
    <t xml:space="preserve">  Bpw</t>
  </si>
  <si>
    <t xml:space="preserve">% Solids  </t>
  </si>
  <si>
    <t xml:space="preserve">F80  </t>
  </si>
  <si>
    <t xml:space="preserve">kWh/ton  </t>
  </si>
  <si>
    <t xml:space="preserve">Wio  </t>
  </si>
  <si>
    <t xml:space="preserve">% Critical  </t>
  </si>
  <si>
    <t xml:space="preserve">  psi  </t>
  </si>
  <si>
    <t xml:space="preserve">  # of Cyclones  </t>
  </si>
  <si>
    <t xml:space="preserve">  Vortex  </t>
  </si>
  <si>
    <t xml:space="preserve">  Apex  </t>
  </si>
  <si>
    <t xml:space="preserve">  % Solids  </t>
  </si>
  <si>
    <r>
      <t xml:space="preserve">     m</t>
    </r>
    <r>
      <rPr>
        <vertAlign val="superscript"/>
        <sz val="10"/>
        <rFont val="Arial"/>
        <family val="2"/>
      </rPr>
      <t>3</t>
    </r>
    <r>
      <rPr>
        <sz val="10"/>
        <rFont val="Arial"/>
        <family val="2"/>
      </rPr>
      <t xml:space="preserve">/hr    </t>
    </r>
  </si>
  <si>
    <t xml:space="preserve">Water,  </t>
  </si>
  <si>
    <t xml:space="preserve">  % - Size 18</t>
  </si>
  <si>
    <t xml:space="preserve">ton/hr  </t>
  </si>
  <si>
    <r>
      <t>BALLBAL :</t>
    </r>
    <r>
      <rPr>
        <b/>
        <sz val="12"/>
        <rFont val="Arial"/>
        <family val="2"/>
      </rPr>
      <t xml:space="preserve"> Mass Balance Closure around a Ball Mill Grinding Circuit</t>
    </r>
  </si>
  <si>
    <t>CIRCUIT MASS BALANCE</t>
  </si>
  <si>
    <t>Feedrate, ton/hr (dry)</t>
  </si>
  <si>
    <t>Balls Density, ton/m3</t>
  </si>
  <si>
    <t>Charge</t>
  </si>
  <si>
    <t>Balls</t>
  </si>
  <si>
    <t>Interstitial</t>
  </si>
  <si>
    <t>Filling,%</t>
  </si>
  <si>
    <t>Slurry Filling,%</t>
  </si>
  <si>
    <t xml:space="preserve"> Balls</t>
  </si>
  <si>
    <t xml:space="preserve"> Overfilling</t>
  </si>
  <si>
    <t xml:space="preserve"> Slurry</t>
  </si>
  <si>
    <t xml:space="preserve"> Net Power</t>
  </si>
  <si>
    <t xml:space="preserve"> % Losses</t>
  </si>
  <si>
    <t xml:space="preserve"> Gross kW</t>
  </si>
  <si>
    <t>Mill Charge Weight, tons</t>
  </si>
  <si>
    <t>Apparent</t>
  </si>
  <si>
    <t>Volume,</t>
  </si>
  <si>
    <t>Ball</t>
  </si>
  <si>
    <t>Slurry</t>
  </si>
  <si>
    <t>Density</t>
  </si>
  <si>
    <t>m3</t>
  </si>
  <si>
    <t>Excess</t>
  </si>
  <si>
    <t xml:space="preserve">  KWH/ton (Gross)</t>
  </si>
  <si>
    <t xml:space="preserve">  KWH/ton</t>
  </si>
  <si>
    <r>
      <t xml:space="preserve">Mill Power, KW </t>
    </r>
    <r>
      <rPr>
        <sz val="8"/>
        <rFont val="Arial"/>
        <family val="2"/>
      </rPr>
      <t>(Gross)</t>
    </r>
  </si>
  <si>
    <r>
      <t xml:space="preserve">Mill Power, KW </t>
    </r>
    <r>
      <rPr>
        <sz val="8"/>
        <rFont val="Arial"/>
        <family val="2"/>
      </rPr>
      <t>(Net)</t>
    </r>
  </si>
  <si>
    <t>Balls Filling, %</t>
  </si>
  <si>
    <r>
      <t xml:space="preserve">  Water, m</t>
    </r>
    <r>
      <rPr>
        <vertAlign val="superscript"/>
        <sz val="10"/>
        <rFont val="Arial"/>
        <family val="2"/>
      </rPr>
      <t>3</t>
    </r>
    <r>
      <rPr>
        <sz val="10"/>
        <rFont val="Arial"/>
        <family val="2"/>
      </rPr>
      <t xml:space="preserve">/hr    </t>
    </r>
  </si>
  <si>
    <t xml:space="preserve">% Balls  </t>
  </si>
  <si>
    <t>rpm</t>
  </si>
  <si>
    <t xml:space="preserve">Gross kW  </t>
  </si>
  <si>
    <t>Eff. Diam.</t>
  </si>
  <si>
    <t>Eff. Length</t>
  </si>
  <si>
    <t>Eff. Diameter, ft</t>
  </si>
  <si>
    <t>Eff. Length, ft</t>
  </si>
  <si>
    <r>
      <t xml:space="preserve">Moly-Cop Tools </t>
    </r>
    <r>
      <rPr>
        <vertAlign val="superscript"/>
        <sz val="12"/>
        <color indexed="18"/>
        <rFont val="Comic Sans MS"/>
        <family val="4"/>
      </rPr>
      <t xml:space="preserve">TM   </t>
    </r>
    <r>
      <rPr>
        <sz val="12"/>
        <color indexed="18"/>
        <rFont val="Comic Sans MS"/>
        <family val="4"/>
      </rPr>
      <t>(Version 2.0)</t>
    </r>
  </si>
  <si>
    <t>Moly-Cop Tools, Version 2.0</t>
  </si>
  <si>
    <r>
      <t xml:space="preserve">About the </t>
    </r>
    <r>
      <rPr>
        <b/>
        <i/>
        <sz val="10"/>
        <color indexed="18"/>
        <rFont val="Arial"/>
        <family val="2"/>
      </rPr>
      <t>Ballbal_Reverse</t>
    </r>
    <r>
      <rPr>
        <i/>
        <sz val="10"/>
        <color indexed="18"/>
        <rFont val="Arial"/>
        <family val="2"/>
      </rPr>
      <t xml:space="preserve"> Spreadsheet ...</t>
    </r>
  </si>
  <si>
    <t xml:space="preserve">Default Values:  </t>
  </si>
  <si>
    <t xml:space="preserve">Sample N°  </t>
  </si>
  <si>
    <r>
      <t>Moly-Cop Tools</t>
    </r>
    <r>
      <rPr>
        <vertAlign val="superscript"/>
        <sz val="10"/>
        <rFont val="Arial"/>
        <family val="2"/>
      </rPr>
      <t>TM</t>
    </r>
    <r>
      <rPr>
        <sz val="10"/>
        <rFont val="Arial"/>
        <family val="2"/>
      </rPr>
      <t>, Version 2.0</t>
    </r>
  </si>
  <si>
    <t>Arbiter's Flow Number</t>
  </si>
  <si>
    <r>
      <t xml:space="preserve">About the </t>
    </r>
    <r>
      <rPr>
        <b/>
        <i/>
        <sz val="10"/>
        <color indexed="18"/>
        <rFont val="Arial"/>
        <family val="2"/>
      </rPr>
      <t>BallBal_Reverse</t>
    </r>
    <r>
      <rPr>
        <i/>
        <sz val="10"/>
        <color indexed="18"/>
        <rFont val="Arial"/>
        <family val="2"/>
      </rPr>
      <t xml:space="preserve"> Spreadsheet ...</t>
    </r>
  </si>
  <si>
    <t>3/4"</t>
  </si>
  <si>
    <t>1/2"</t>
  </si>
  <si>
    <t>3/8"</t>
  </si>
  <si>
    <t>1/4"</t>
  </si>
</sst>
</file>

<file path=xl/styles.xml><?xml version="1.0" encoding="utf-8"?>
<styleSheet xmlns="http://schemas.openxmlformats.org/spreadsheetml/2006/main">
  <numFmts count="4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0.00000"/>
    <numFmt numFmtId="187" formatCode="0.000"/>
    <numFmt numFmtId="188" formatCode="0.0"/>
    <numFmt numFmtId="189" formatCode="0.0000"/>
    <numFmt numFmtId="190" formatCode="0.00_);[Red]\(0.00\)"/>
    <numFmt numFmtId="191" formatCode="0.00000_);[Red]\(0.00000\)"/>
    <numFmt numFmtId="192" formatCode="0.0000000"/>
    <numFmt numFmtId="193" formatCode="0.000000"/>
    <numFmt numFmtId="194" formatCode="0.0000000000000"/>
    <numFmt numFmtId="195" formatCode="0.00000000"/>
    <numFmt numFmtId="196" formatCode="0.00\ \ "/>
    <numFmt numFmtId="197" formatCode="0\ \ "/>
    <numFmt numFmtId="198" formatCode="0.0\ \ "/>
    <numFmt numFmtId="199" formatCode="0.000000000000"/>
    <numFmt numFmtId="200" formatCode="0.000\ \ "/>
    <numFmt numFmtId="201" formatCode="#,##0_)\ ;\(#,##0\)\ "/>
    <numFmt numFmtId="202" formatCode="0.000\ \ \ "/>
    <numFmt numFmtId="203" formatCode="0\ "/>
    <numFmt numFmtId="204" formatCode="0.00\ "/>
  </numFmts>
  <fonts count="80">
    <font>
      <sz val="10"/>
      <name val="Arial"/>
      <family val="0"/>
    </font>
    <font>
      <b/>
      <sz val="10"/>
      <name val="Arial"/>
      <family val="0"/>
    </font>
    <font>
      <i/>
      <sz val="10"/>
      <name val="Arial"/>
      <family val="0"/>
    </font>
    <font>
      <b/>
      <i/>
      <sz val="10"/>
      <name val="Arial"/>
      <family val="0"/>
    </font>
    <font>
      <sz val="10"/>
      <name val="Symbol"/>
      <family val="1"/>
    </font>
    <font>
      <sz val="8"/>
      <name val="Arial"/>
      <family val="2"/>
    </font>
    <font>
      <b/>
      <sz val="12"/>
      <name val="Arial"/>
      <family val="2"/>
    </font>
    <font>
      <b/>
      <sz val="13"/>
      <name val="Arial"/>
      <family val="2"/>
    </font>
    <font>
      <sz val="10"/>
      <color indexed="13"/>
      <name val="Arial"/>
      <family val="2"/>
    </font>
    <font>
      <b/>
      <sz val="10"/>
      <color indexed="10"/>
      <name val="Arial"/>
      <family val="2"/>
    </font>
    <font>
      <b/>
      <i/>
      <sz val="10"/>
      <color indexed="18"/>
      <name val="Arial"/>
      <family val="2"/>
    </font>
    <font>
      <i/>
      <sz val="10"/>
      <color indexed="18"/>
      <name val="Arial"/>
      <family val="2"/>
    </font>
    <font>
      <sz val="10"/>
      <color indexed="23"/>
      <name val="Arial"/>
      <family val="0"/>
    </font>
    <font>
      <sz val="10"/>
      <color indexed="23"/>
      <name val="Symbol"/>
      <family val="1"/>
    </font>
    <font>
      <sz val="12"/>
      <color indexed="18"/>
      <name val="Comic Sans MS"/>
      <family val="4"/>
    </font>
    <font>
      <vertAlign val="superscript"/>
      <sz val="12"/>
      <color indexed="18"/>
      <name val="Comic Sans MS"/>
      <family val="4"/>
    </font>
    <font>
      <b/>
      <sz val="12"/>
      <color indexed="18"/>
      <name val="Arial"/>
      <family val="2"/>
    </font>
    <font>
      <b/>
      <sz val="12"/>
      <color indexed="8"/>
      <name val="Arial"/>
      <family val="2"/>
    </font>
    <font>
      <b/>
      <sz val="8"/>
      <name val="Tahoma"/>
      <family val="2"/>
    </font>
    <font>
      <sz val="8"/>
      <name val="Tahoma"/>
      <family val="2"/>
    </font>
    <font>
      <sz val="8"/>
      <color indexed="10"/>
      <name val="Tahoma"/>
      <family val="2"/>
    </font>
    <font>
      <vertAlign val="superscript"/>
      <sz val="10"/>
      <name val="Arial"/>
      <family val="2"/>
    </font>
    <font>
      <sz val="10"/>
      <color indexed="9"/>
      <name val="Arial"/>
      <family val="2"/>
    </font>
    <font>
      <u val="single"/>
      <sz val="9"/>
      <color indexed="36"/>
      <name val="Arial"/>
      <family val="0"/>
    </font>
    <font>
      <u val="single"/>
      <sz val="9"/>
      <color indexed="12"/>
      <name val="Arial"/>
      <family val="0"/>
    </font>
    <font>
      <i/>
      <sz val="8"/>
      <color indexed="18"/>
      <name val="Comic Sans MS"/>
      <family val="4"/>
    </font>
    <font>
      <u val="single"/>
      <sz val="8"/>
      <name val="Tahoma"/>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8"/>
      <name val="Arial"/>
      <family val="0"/>
    </font>
    <font>
      <vertAlign val="subscript"/>
      <sz val="10"/>
      <color indexed="8"/>
      <name val="Arial"/>
      <family val="0"/>
    </font>
    <font>
      <b/>
      <vertAlign val="subscript"/>
      <sz val="10"/>
      <color indexed="8"/>
      <name val="Arial"/>
      <family val="0"/>
    </font>
    <font>
      <b/>
      <vertAlign val="superscript"/>
      <sz val="10"/>
      <color indexed="8"/>
      <name val="Arial"/>
      <family val="0"/>
    </font>
    <font>
      <u val="single"/>
      <sz val="10"/>
      <color indexed="8"/>
      <name val="Arial"/>
      <family val="0"/>
    </font>
    <font>
      <i/>
      <sz val="10"/>
      <color indexed="8"/>
      <name val="Arial"/>
      <family val="0"/>
    </font>
    <font>
      <i/>
      <vertAlign val="subscript"/>
      <sz val="10"/>
      <color indexed="8"/>
      <name val="Arial"/>
      <family val="0"/>
    </font>
    <font>
      <i/>
      <vertAlign val="superscript"/>
      <sz val="10"/>
      <color indexed="8"/>
      <name val="Arial"/>
      <family val="0"/>
    </font>
    <font>
      <b/>
      <sz val="10"/>
      <color indexed="8"/>
      <name val="Symbol"/>
      <family val="0"/>
    </font>
    <font>
      <b/>
      <i/>
      <sz val="10"/>
      <color indexed="8"/>
      <name val="Arial"/>
      <family val="0"/>
    </font>
    <font>
      <vertAlign val="superscript"/>
      <sz val="10"/>
      <color indexed="8"/>
      <name val="Arial"/>
      <family val="0"/>
    </font>
    <font>
      <b/>
      <sz val="16"/>
      <color indexed="8"/>
      <name val="Symbol"/>
      <family val="0"/>
    </font>
    <font>
      <sz val="15.5"/>
      <color indexed="8"/>
      <name val="Arial"/>
      <family val="0"/>
    </font>
    <font>
      <sz val="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style="double">
        <color indexed="10"/>
      </right>
      <top style="thin"/>
      <bottom style="thin"/>
    </border>
    <border>
      <left>
        <color indexed="63"/>
      </left>
      <right style="thin"/>
      <top style="thin"/>
      <bottom style="thin"/>
    </border>
    <border>
      <left style="thin"/>
      <right>
        <color indexed="63"/>
      </right>
      <top>
        <color indexed="63"/>
      </top>
      <bottom>
        <color indexed="63"/>
      </bottom>
    </border>
    <border>
      <left style="double">
        <color indexed="10"/>
      </left>
      <right>
        <color indexed="63"/>
      </right>
      <top>
        <color indexed="63"/>
      </top>
      <bottom style="thin"/>
    </border>
    <border>
      <left style="thin"/>
      <right style="double">
        <color indexed="10"/>
      </right>
      <top style="thin"/>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style="double">
        <color indexed="10"/>
      </right>
      <top>
        <color indexed="63"/>
      </top>
      <bottom style="thin"/>
    </border>
    <border>
      <left style="double">
        <color indexed="10"/>
      </left>
      <right style="double">
        <color indexed="10"/>
      </right>
      <top>
        <color indexed="63"/>
      </top>
      <bottom style="thin"/>
    </border>
    <border>
      <left>
        <color indexed="63"/>
      </left>
      <right>
        <color indexed="63"/>
      </right>
      <top style="thin"/>
      <bottom style="double">
        <color indexed="10"/>
      </bottom>
    </border>
    <border>
      <left>
        <color indexed="63"/>
      </left>
      <right style="double">
        <color indexed="18"/>
      </right>
      <top>
        <color indexed="63"/>
      </top>
      <bottom>
        <color indexed="63"/>
      </bottom>
    </border>
    <border>
      <left style="thin"/>
      <right style="double">
        <color indexed="18"/>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double">
        <color indexed="18"/>
      </right>
      <top>
        <color indexed="63"/>
      </top>
      <bottom style="thin"/>
    </border>
    <border>
      <left style="double">
        <color indexed="18"/>
      </left>
      <right>
        <color indexed="63"/>
      </right>
      <top>
        <color indexed="63"/>
      </top>
      <bottom>
        <color indexed="63"/>
      </bottom>
    </border>
    <border>
      <left style="double">
        <color indexed="18"/>
      </left>
      <right>
        <color indexed="63"/>
      </right>
      <top>
        <color indexed="63"/>
      </top>
      <bottom style="thin"/>
    </border>
    <border>
      <left style="thin"/>
      <right>
        <color indexed="63"/>
      </right>
      <top style="thin"/>
      <bottom style="thin"/>
    </border>
    <border>
      <left>
        <color indexed="63"/>
      </left>
      <right style="double">
        <color indexed="10"/>
      </right>
      <top style="thin"/>
      <bottom>
        <color indexed="63"/>
      </bottom>
    </border>
    <border>
      <left>
        <color indexed="63"/>
      </left>
      <right style="thin">
        <color indexed="8"/>
      </right>
      <top>
        <color indexed="63"/>
      </top>
      <bottom>
        <color indexed="63"/>
      </bottom>
    </border>
    <border>
      <left style="thin"/>
      <right style="double">
        <color indexed="18"/>
      </right>
      <top style="thin"/>
      <bottom>
        <color indexed="63"/>
      </bottom>
    </border>
    <border>
      <left style="thin"/>
      <right style="double">
        <color indexed="18"/>
      </right>
      <top>
        <color indexed="63"/>
      </top>
      <bottom>
        <color indexed="63"/>
      </bottom>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double">
        <color indexed="18"/>
      </left>
      <right style="double">
        <color indexed="18"/>
      </right>
      <top>
        <color indexed="63"/>
      </top>
      <bottom>
        <color indexed="63"/>
      </bottom>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43">
    <xf numFmtId="0" fontId="0" fillId="0" borderId="0" xfId="0" applyAlignment="1">
      <alignment/>
    </xf>
    <xf numFmtId="187" fontId="0" fillId="0" borderId="0" xfId="0" applyNumberFormat="1" applyAlignment="1">
      <alignment/>
    </xf>
    <xf numFmtId="0" fontId="0" fillId="0" borderId="0" xfId="0" applyAlignment="1">
      <alignment horizontal="right"/>
    </xf>
    <xf numFmtId="0" fontId="0" fillId="0" borderId="0" xfId="0" applyAlignment="1">
      <alignment horizontal="center"/>
    </xf>
    <xf numFmtId="188"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left"/>
    </xf>
    <xf numFmtId="189" fontId="0" fillId="0" borderId="0" xfId="0" applyNumberFormat="1" applyAlignment="1">
      <alignment/>
    </xf>
    <xf numFmtId="0" fontId="0" fillId="0" borderId="10" xfId="0" applyBorder="1" applyAlignment="1">
      <alignment/>
    </xf>
    <xf numFmtId="188" fontId="0" fillId="0" borderId="10" xfId="0" applyNumberFormat="1" applyBorder="1" applyAlignment="1">
      <alignment/>
    </xf>
    <xf numFmtId="2" fontId="0" fillId="0" borderId="10" xfId="0" applyNumberFormat="1" applyBorder="1" applyAlignment="1">
      <alignment/>
    </xf>
    <xf numFmtId="0" fontId="0" fillId="0" borderId="11" xfId="0" applyBorder="1" applyAlignment="1">
      <alignment vertical="center"/>
    </xf>
    <xf numFmtId="1" fontId="0" fillId="0" borderId="11" xfId="0" applyNumberFormat="1" applyBorder="1" applyAlignment="1">
      <alignment vertical="center"/>
    </xf>
    <xf numFmtId="188" fontId="0" fillId="0" borderId="11" xfId="0" applyNumberFormat="1" applyBorder="1" applyAlignment="1">
      <alignment vertical="center"/>
    </xf>
    <xf numFmtId="0" fontId="5" fillId="0" borderId="0" xfId="0" applyFont="1" applyAlignment="1">
      <alignment/>
    </xf>
    <xf numFmtId="0" fontId="0" fillId="0" borderId="0" xfId="0"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 fillId="0" borderId="0" xfId="0" applyFont="1" applyAlignment="1">
      <alignment horizontal="right"/>
    </xf>
    <xf numFmtId="187" fontId="0" fillId="0" borderId="0" xfId="0" applyNumberFormat="1" applyBorder="1" applyAlignment="1">
      <alignment/>
    </xf>
    <xf numFmtId="0" fontId="8" fillId="0" borderId="0" xfId="0" applyFont="1" applyAlignment="1">
      <alignment/>
    </xf>
    <xf numFmtId="2" fontId="0" fillId="33" borderId="12" xfId="0" applyNumberFormat="1" applyFill="1" applyBorder="1" applyAlignment="1">
      <alignment/>
    </xf>
    <xf numFmtId="2" fontId="0" fillId="33" borderId="0" xfId="0" applyNumberFormat="1" applyFill="1" applyBorder="1" applyAlignment="1">
      <alignment/>
    </xf>
    <xf numFmtId="2" fontId="0" fillId="33" borderId="13" xfId="0" applyNumberFormat="1" applyFill="1" applyBorder="1" applyAlignment="1">
      <alignment/>
    </xf>
    <xf numFmtId="0" fontId="9" fillId="0" borderId="0" xfId="0" applyFont="1" applyAlignment="1">
      <alignment/>
    </xf>
    <xf numFmtId="187" fontId="1" fillId="34" borderId="14" xfId="0" applyNumberFormat="1" applyFont="1" applyFill="1" applyBorder="1" applyAlignment="1">
      <alignment/>
    </xf>
    <xf numFmtId="187" fontId="0" fillId="0" borderId="10" xfId="0" applyNumberFormat="1" applyBorder="1" applyAlignment="1">
      <alignment/>
    </xf>
    <xf numFmtId="0" fontId="0" fillId="35" borderId="0" xfId="0" applyFill="1" applyBorder="1" applyAlignment="1">
      <alignment/>
    </xf>
    <xf numFmtId="0" fontId="0" fillId="35" borderId="13" xfId="0" applyFill="1" applyBorder="1" applyAlignment="1">
      <alignment/>
    </xf>
    <xf numFmtId="0" fontId="0" fillId="35" borderId="0" xfId="0" applyFill="1" applyBorder="1" applyAlignment="1">
      <alignment horizontal="lef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0" xfId="0" applyFill="1" applyBorder="1" applyAlignment="1">
      <alignment/>
    </xf>
    <xf numFmtId="0" fontId="0" fillId="36" borderId="19" xfId="0" applyFill="1" applyBorder="1" applyAlignment="1">
      <alignment/>
    </xf>
    <xf numFmtId="0" fontId="0" fillId="35" borderId="12" xfId="0" applyFill="1" applyBorder="1" applyAlignment="1">
      <alignment horizontal="center"/>
    </xf>
    <xf numFmtId="0" fontId="0" fillId="35" borderId="0" xfId="0"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xf>
    <xf numFmtId="0" fontId="0" fillId="35" borderId="20" xfId="0" applyFill="1" applyBorder="1" applyAlignment="1">
      <alignment/>
    </xf>
    <xf numFmtId="0" fontId="0" fillId="35" borderId="21" xfId="0" applyFill="1" applyBorder="1" applyAlignment="1">
      <alignment/>
    </xf>
    <xf numFmtId="2" fontId="0" fillId="35" borderId="20" xfId="0" applyNumberFormat="1" applyFill="1" applyBorder="1" applyAlignment="1">
      <alignment/>
    </xf>
    <xf numFmtId="187" fontId="0" fillId="33" borderId="14" xfId="0" applyNumberFormat="1" applyFill="1" applyBorder="1" applyAlignment="1">
      <alignment/>
    </xf>
    <xf numFmtId="0" fontId="0" fillId="33" borderId="14" xfId="0" applyFill="1" applyBorder="1" applyAlignment="1">
      <alignment/>
    </xf>
    <xf numFmtId="0" fontId="1" fillId="35" borderId="0" xfId="0" applyFont="1" applyFill="1" applyBorder="1" applyAlignment="1">
      <alignment/>
    </xf>
    <xf numFmtId="2" fontId="0" fillId="33" borderId="14" xfId="0" applyNumberFormat="1" applyFill="1" applyBorder="1" applyAlignment="1">
      <alignment/>
    </xf>
    <xf numFmtId="191" fontId="0" fillId="33" borderId="14" xfId="0" applyNumberFormat="1" applyFill="1" applyBorder="1" applyAlignment="1">
      <alignment/>
    </xf>
    <xf numFmtId="2" fontId="0" fillId="33" borderId="22" xfId="0" applyNumberFormat="1" applyFill="1" applyBorder="1" applyAlignment="1">
      <alignment/>
    </xf>
    <xf numFmtId="190" fontId="0" fillId="33" borderId="23" xfId="0" applyNumberFormat="1" applyFill="1" applyBorder="1" applyAlignment="1">
      <alignment/>
    </xf>
    <xf numFmtId="187" fontId="0" fillId="33" borderId="24" xfId="0" applyNumberFormat="1" applyFill="1" applyBorder="1" applyAlignment="1">
      <alignment/>
    </xf>
    <xf numFmtId="0" fontId="0" fillId="35" borderId="10" xfId="0" applyFill="1" applyBorder="1" applyAlignment="1">
      <alignment/>
    </xf>
    <xf numFmtId="0" fontId="0" fillId="35" borderId="25" xfId="0" applyFill="1" applyBorder="1" applyAlignment="1">
      <alignment/>
    </xf>
    <xf numFmtId="2" fontId="0" fillId="33" borderId="26" xfId="0" applyNumberFormat="1" applyFill="1" applyBorder="1" applyAlignment="1">
      <alignment/>
    </xf>
    <xf numFmtId="0" fontId="0" fillId="35" borderId="19" xfId="0" applyFill="1" applyBorder="1" applyAlignment="1">
      <alignment/>
    </xf>
    <xf numFmtId="0" fontId="1" fillId="33" borderId="14" xfId="0" applyFont="1" applyFill="1" applyBorder="1" applyAlignment="1">
      <alignment horizontal="center"/>
    </xf>
    <xf numFmtId="1" fontId="0" fillId="33" borderId="14" xfId="0" applyNumberFormat="1" applyFill="1" applyBorder="1" applyAlignment="1">
      <alignment/>
    </xf>
    <xf numFmtId="2" fontId="0" fillId="35" borderId="0" xfId="0" applyNumberFormat="1" applyFill="1" applyBorder="1" applyAlignment="1">
      <alignment/>
    </xf>
    <xf numFmtId="187" fontId="0" fillId="35" borderId="13" xfId="0" applyNumberFormat="1"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187" fontId="0" fillId="35" borderId="0" xfId="0" applyNumberFormat="1" applyFill="1" applyBorder="1" applyAlignment="1">
      <alignment/>
    </xf>
    <xf numFmtId="2" fontId="0" fillId="35" borderId="13" xfId="0" applyNumberFormat="1" applyFill="1" applyBorder="1" applyAlignment="1">
      <alignment/>
    </xf>
    <xf numFmtId="0" fontId="4" fillId="35" borderId="0" xfId="0" applyFont="1" applyFill="1" applyBorder="1" applyAlignment="1">
      <alignment horizontal="center"/>
    </xf>
    <xf numFmtId="0" fontId="0" fillId="35" borderId="30" xfId="0" applyFill="1" applyBorder="1" applyAlignment="1">
      <alignment/>
    </xf>
    <xf numFmtId="0" fontId="1" fillId="35" borderId="0" xfId="0" applyFont="1" applyFill="1" applyBorder="1" applyAlignment="1">
      <alignment horizontal="center"/>
    </xf>
    <xf numFmtId="0" fontId="0" fillId="35" borderId="0" xfId="0" applyFill="1" applyBorder="1" applyAlignment="1">
      <alignment horizontal="right"/>
    </xf>
    <xf numFmtId="0" fontId="8" fillId="35" borderId="0" xfId="0" applyFont="1" applyFill="1" applyBorder="1" applyAlignment="1">
      <alignment/>
    </xf>
    <xf numFmtId="188" fontId="8" fillId="35" borderId="0" xfId="0" applyNumberFormat="1" applyFont="1" applyFill="1" applyBorder="1" applyAlignment="1">
      <alignment horizontal="right"/>
    </xf>
    <xf numFmtId="190" fontId="0" fillId="33" borderId="0" xfId="0" applyNumberFormat="1" applyFill="1" applyBorder="1" applyAlignment="1">
      <alignment/>
    </xf>
    <xf numFmtId="191" fontId="0" fillId="33" borderId="0" xfId="0" applyNumberFormat="1" applyFill="1" applyBorder="1" applyAlignment="1">
      <alignment/>
    </xf>
    <xf numFmtId="0" fontId="1" fillId="34" borderId="14" xfId="0" applyFont="1" applyFill="1" applyBorder="1" applyAlignment="1">
      <alignment horizontal="right"/>
    </xf>
    <xf numFmtId="187" fontId="1" fillId="33" borderId="14" xfId="0" applyNumberFormat="1" applyFont="1" applyFill="1" applyBorder="1" applyAlignment="1">
      <alignment/>
    </xf>
    <xf numFmtId="0" fontId="1" fillId="33" borderId="18" xfId="0" applyFont="1" applyFill="1" applyBorder="1" applyAlignment="1">
      <alignment horizontal="right"/>
    </xf>
    <xf numFmtId="0" fontId="1" fillId="35" borderId="0" xfId="0" applyFont="1" applyFill="1" applyBorder="1" applyAlignment="1">
      <alignment horizontal="left"/>
    </xf>
    <xf numFmtId="0" fontId="0" fillId="35" borderId="0" xfId="0" applyFill="1" applyAlignment="1">
      <alignment/>
    </xf>
    <xf numFmtId="191" fontId="0" fillId="33" borderId="31" xfId="0" applyNumberFormat="1" applyFill="1" applyBorder="1" applyAlignment="1">
      <alignment/>
    </xf>
    <xf numFmtId="0" fontId="0" fillId="37" borderId="28" xfId="0" applyFill="1" applyBorder="1" applyAlignment="1">
      <alignment/>
    </xf>
    <xf numFmtId="0" fontId="0" fillId="37" borderId="0" xfId="0" applyFill="1" applyBorder="1" applyAlignment="1">
      <alignment/>
    </xf>
    <xf numFmtId="0" fontId="0" fillId="37" borderId="20" xfId="0" applyFill="1" applyBorder="1" applyAlignment="1">
      <alignment/>
    </xf>
    <xf numFmtId="0" fontId="0" fillId="37" borderId="29" xfId="0" applyFill="1" applyBorder="1" applyAlignment="1">
      <alignment/>
    </xf>
    <xf numFmtId="0" fontId="0" fillId="37" borderId="13" xfId="0" applyFill="1" applyBorder="1" applyAlignment="1">
      <alignment/>
    </xf>
    <xf numFmtId="0" fontId="0" fillId="37" borderId="0" xfId="0" applyFill="1" applyBorder="1" applyAlignment="1">
      <alignment horizontal="center"/>
    </xf>
    <xf numFmtId="0" fontId="0" fillId="37" borderId="12" xfId="0" applyFill="1" applyBorder="1" applyAlignment="1">
      <alignment horizontal="center"/>
    </xf>
    <xf numFmtId="0" fontId="0" fillId="37" borderId="13" xfId="0" applyFill="1" applyBorder="1" applyAlignment="1">
      <alignment horizontal="center"/>
    </xf>
    <xf numFmtId="0" fontId="2" fillId="37" borderId="0" xfId="0" applyFont="1" applyFill="1" applyBorder="1" applyAlignment="1">
      <alignment horizontal="center"/>
    </xf>
    <xf numFmtId="0" fontId="0" fillId="37" borderId="12" xfId="0" applyFill="1" applyBorder="1" applyAlignment="1">
      <alignment/>
    </xf>
    <xf numFmtId="0" fontId="0" fillId="37" borderId="31" xfId="0" applyFill="1" applyBorder="1" applyAlignment="1">
      <alignment/>
    </xf>
    <xf numFmtId="0" fontId="0" fillId="37" borderId="32" xfId="0" applyFill="1" applyBorder="1" applyAlignment="1">
      <alignment/>
    </xf>
    <xf numFmtId="0" fontId="0" fillId="37" borderId="10" xfId="0" applyFill="1" applyBorder="1" applyAlignment="1">
      <alignment/>
    </xf>
    <xf numFmtId="187" fontId="0" fillId="37" borderId="10" xfId="0" applyNumberFormat="1" applyFill="1" applyBorder="1" applyAlignment="1">
      <alignment/>
    </xf>
    <xf numFmtId="0" fontId="0" fillId="37" borderId="25" xfId="0" applyFill="1" applyBorder="1" applyAlignment="1">
      <alignment/>
    </xf>
    <xf numFmtId="0" fontId="0" fillId="37" borderId="21" xfId="0" applyFill="1" applyBorder="1" applyAlignment="1">
      <alignment/>
    </xf>
    <xf numFmtId="0" fontId="1" fillId="37" borderId="0" xfId="0" applyFont="1" applyFill="1" applyBorder="1" applyAlignment="1">
      <alignment/>
    </xf>
    <xf numFmtId="0" fontId="0" fillId="37" borderId="0" xfId="0" applyFill="1" applyBorder="1" applyAlignment="1">
      <alignment horizontal="right"/>
    </xf>
    <xf numFmtId="191" fontId="0" fillId="37" borderId="0" xfId="0" applyNumberFormat="1" applyFill="1" applyBorder="1" applyAlignment="1">
      <alignment/>
    </xf>
    <xf numFmtId="0" fontId="11" fillId="0" borderId="0" xfId="0" applyFont="1" applyAlignment="1">
      <alignment/>
    </xf>
    <xf numFmtId="0" fontId="1" fillId="35" borderId="13" xfId="0" applyFont="1" applyFill="1" applyBorder="1" applyAlignment="1">
      <alignment horizontal="center"/>
    </xf>
    <xf numFmtId="0" fontId="12" fillId="0" borderId="0" xfId="0" applyFont="1" applyAlignment="1">
      <alignment/>
    </xf>
    <xf numFmtId="0" fontId="13" fillId="0" borderId="0" xfId="0" applyFont="1" applyAlignment="1">
      <alignment/>
    </xf>
    <xf numFmtId="2" fontId="12" fillId="33" borderId="0" xfId="0" applyNumberFormat="1" applyFont="1" applyFill="1" applyAlignment="1">
      <alignment/>
    </xf>
    <xf numFmtId="0" fontId="12" fillId="34" borderId="0" xfId="0" applyFont="1" applyFill="1" applyAlignment="1">
      <alignment/>
    </xf>
    <xf numFmtId="0" fontId="12" fillId="33" borderId="0" xfId="0" applyFont="1" applyFill="1" applyAlignment="1">
      <alignment/>
    </xf>
    <xf numFmtId="2" fontId="12" fillId="0" borderId="0" xfId="0" applyNumberFormat="1" applyFont="1" applyAlignment="1">
      <alignment/>
    </xf>
    <xf numFmtId="187"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right"/>
    </xf>
    <xf numFmtId="187" fontId="12" fillId="0" borderId="14" xfId="0" applyNumberFormat="1" applyFont="1" applyBorder="1" applyAlignment="1">
      <alignment/>
    </xf>
    <xf numFmtId="0" fontId="0" fillId="35" borderId="33" xfId="0" applyFill="1" applyBorder="1" applyAlignment="1">
      <alignment/>
    </xf>
    <xf numFmtId="0" fontId="0" fillId="37" borderId="27" xfId="0" applyFill="1" applyBorder="1" applyAlignment="1">
      <alignment/>
    </xf>
    <xf numFmtId="0" fontId="0" fillId="37" borderId="30" xfId="0" applyFill="1" applyBorder="1" applyAlignment="1">
      <alignment/>
    </xf>
    <xf numFmtId="0" fontId="0" fillId="35" borderId="34" xfId="0" applyFill="1" applyBorder="1" applyAlignment="1">
      <alignment horizontal="center"/>
    </xf>
    <xf numFmtId="0" fontId="0" fillId="35" borderId="34" xfId="0" applyFill="1" applyBorder="1" applyAlignment="1">
      <alignment/>
    </xf>
    <xf numFmtId="0" fontId="1" fillId="35" borderId="34" xfId="0" applyFont="1" applyFill="1" applyBorder="1" applyAlignment="1">
      <alignment/>
    </xf>
    <xf numFmtId="187" fontId="0" fillId="33" borderId="35" xfId="0" applyNumberFormat="1" applyFill="1" applyBorder="1" applyAlignment="1">
      <alignment/>
    </xf>
    <xf numFmtId="2" fontId="1" fillId="33" borderId="36" xfId="0" applyNumberFormat="1" applyFont="1" applyFill="1" applyBorder="1" applyAlignment="1">
      <alignment/>
    </xf>
    <xf numFmtId="2" fontId="1" fillId="33" borderId="37" xfId="0" applyNumberFormat="1" applyFont="1" applyFill="1" applyBorder="1" applyAlignment="1">
      <alignment/>
    </xf>
    <xf numFmtId="2" fontId="0" fillId="33" borderId="35" xfId="0" applyNumberFormat="1" applyFill="1" applyBorder="1" applyAlignment="1">
      <alignment/>
    </xf>
    <xf numFmtId="0" fontId="0" fillId="35" borderId="38" xfId="0" applyFill="1" applyBorder="1" applyAlignment="1">
      <alignment/>
    </xf>
    <xf numFmtId="1" fontId="0" fillId="33" borderId="34" xfId="0" applyNumberFormat="1" applyFill="1" applyBorder="1" applyAlignment="1">
      <alignment/>
    </xf>
    <xf numFmtId="1" fontId="0" fillId="33" borderId="38" xfId="0" applyNumberFormat="1" applyFill="1" applyBorder="1" applyAlignment="1">
      <alignment/>
    </xf>
    <xf numFmtId="2" fontId="0" fillId="33" borderId="39" xfId="0" applyNumberFormat="1" applyFill="1" applyBorder="1" applyAlignment="1">
      <alignment/>
    </xf>
    <xf numFmtId="2" fontId="0" fillId="33" borderId="15" xfId="0" applyNumberFormat="1" applyFill="1" applyBorder="1" applyAlignment="1">
      <alignment/>
    </xf>
    <xf numFmtId="2" fontId="0" fillId="33" borderId="24" xfId="0" applyNumberFormat="1" applyFill="1" applyBorder="1" applyAlignment="1">
      <alignment/>
    </xf>
    <xf numFmtId="2" fontId="0" fillId="33" borderId="40" xfId="0" applyNumberFormat="1" applyFill="1" applyBorder="1" applyAlignment="1">
      <alignment/>
    </xf>
    <xf numFmtId="2" fontId="0" fillId="33" borderId="18" xfId="0" applyNumberFormat="1" applyFill="1" applyBorder="1" applyAlignment="1">
      <alignment/>
    </xf>
    <xf numFmtId="2" fontId="0" fillId="33" borderId="41" xfId="0" applyNumberFormat="1" applyFill="1" applyBorder="1" applyAlignment="1">
      <alignment/>
    </xf>
    <xf numFmtId="2" fontId="0" fillId="33" borderId="23" xfId="0" applyNumberFormat="1" applyFill="1" applyBorder="1" applyAlignment="1">
      <alignment/>
    </xf>
    <xf numFmtId="2" fontId="0" fillId="37" borderId="15" xfId="0" applyNumberFormat="1" applyFill="1" applyBorder="1" applyAlignment="1">
      <alignment/>
    </xf>
    <xf numFmtId="0" fontId="1" fillId="37" borderId="24" xfId="0" applyFont="1" applyFill="1" applyBorder="1" applyAlignment="1">
      <alignment horizontal="right"/>
    </xf>
    <xf numFmtId="190" fontId="0" fillId="33" borderId="32" xfId="0" applyNumberFormat="1" applyFill="1" applyBorder="1" applyAlignment="1">
      <alignment/>
    </xf>
    <xf numFmtId="0" fontId="0" fillId="37" borderId="42" xfId="0" applyFill="1" applyBorder="1" applyAlignment="1">
      <alignment/>
    </xf>
    <xf numFmtId="190" fontId="0" fillId="33" borderId="43" xfId="0" applyNumberFormat="1" applyFill="1" applyBorder="1" applyAlignment="1">
      <alignment/>
    </xf>
    <xf numFmtId="0" fontId="2" fillId="37" borderId="12" xfId="0" applyFont="1" applyFill="1" applyBorder="1" applyAlignment="1">
      <alignment horizontal="center"/>
    </xf>
    <xf numFmtId="0" fontId="0" fillId="37" borderId="16" xfId="0" applyFill="1" applyBorder="1" applyAlignment="1">
      <alignment/>
    </xf>
    <xf numFmtId="0" fontId="14" fillId="35" borderId="28" xfId="0" applyFont="1" applyFill="1" applyBorder="1" applyAlignment="1">
      <alignment vertical="center"/>
    </xf>
    <xf numFmtId="0" fontId="14" fillId="0" borderId="0" xfId="0" applyFont="1" applyFill="1" applyBorder="1" applyAlignment="1">
      <alignment vertical="center"/>
    </xf>
    <xf numFmtId="0" fontId="12" fillId="0" borderId="0" xfId="0" applyFont="1" applyAlignment="1">
      <alignment/>
    </xf>
    <xf numFmtId="2" fontId="0" fillId="33" borderId="44" xfId="0" applyNumberFormat="1" applyFill="1" applyBorder="1" applyAlignment="1">
      <alignment/>
    </xf>
    <xf numFmtId="2" fontId="0" fillId="33" borderId="45" xfId="0" applyNumberFormat="1" applyFill="1" applyBorder="1" applyAlignment="1">
      <alignment/>
    </xf>
    <xf numFmtId="2" fontId="0" fillId="33" borderId="38" xfId="0" applyNumberFormat="1" applyFill="1" applyBorder="1" applyAlignment="1">
      <alignment/>
    </xf>
    <xf numFmtId="0" fontId="1" fillId="35" borderId="28" xfId="0" applyFont="1" applyFill="1" applyBorder="1" applyAlignment="1">
      <alignment/>
    </xf>
    <xf numFmtId="0" fontId="25" fillId="35" borderId="28" xfId="0" applyFont="1" applyFill="1" applyBorder="1" applyAlignment="1">
      <alignment horizontal="right" vertical="center"/>
    </xf>
    <xf numFmtId="0" fontId="0" fillId="35" borderId="0" xfId="0" applyFont="1" applyFill="1" applyBorder="1" applyAlignment="1">
      <alignment horizontal="left"/>
    </xf>
    <xf numFmtId="0" fontId="0" fillId="35" borderId="0" xfId="0" applyFont="1" applyFill="1" applyBorder="1" applyAlignment="1">
      <alignment horizontal="right"/>
    </xf>
    <xf numFmtId="0" fontId="1" fillId="35" borderId="0" xfId="0" applyFont="1" applyFill="1" applyBorder="1" applyAlignment="1">
      <alignment horizontal="right"/>
    </xf>
    <xf numFmtId="0" fontId="0" fillId="33" borderId="14" xfId="0" applyFill="1" applyBorder="1" applyAlignment="1">
      <alignment horizontal="center"/>
    </xf>
    <xf numFmtId="1" fontId="27" fillId="33" borderId="14" xfId="0" applyNumberFormat="1" applyFont="1" applyFill="1" applyBorder="1" applyAlignment="1">
      <alignment/>
    </xf>
    <xf numFmtId="0" fontId="27" fillId="35" borderId="0" xfId="0" applyFont="1" applyFill="1" applyBorder="1" applyAlignment="1">
      <alignment/>
    </xf>
    <xf numFmtId="0" fontId="27" fillId="35" borderId="24" xfId="0" applyFont="1" applyFill="1" applyBorder="1" applyAlignment="1">
      <alignment/>
    </xf>
    <xf numFmtId="0" fontId="1" fillId="35" borderId="24" xfId="0" applyFont="1" applyFill="1" applyBorder="1" applyAlignment="1">
      <alignment horizontal="left"/>
    </xf>
    <xf numFmtId="188" fontId="0" fillId="35" borderId="0" xfId="0" applyNumberFormat="1" applyFill="1" applyBorder="1" applyAlignment="1">
      <alignment horizontal="left"/>
    </xf>
    <xf numFmtId="1" fontId="1" fillId="35" borderId="0" xfId="0" applyNumberFormat="1" applyFont="1" applyFill="1" applyBorder="1" applyAlignment="1">
      <alignment horizontal="left"/>
    </xf>
    <xf numFmtId="0" fontId="28" fillId="35" borderId="0" xfId="0" applyFont="1" applyFill="1" applyBorder="1" applyAlignment="1">
      <alignment horizontal="center"/>
    </xf>
    <xf numFmtId="0" fontId="27" fillId="35" borderId="0" xfId="0" applyFont="1" applyFill="1" applyBorder="1" applyAlignment="1">
      <alignment horizontal="center"/>
    </xf>
    <xf numFmtId="2" fontId="27" fillId="33" borderId="14" xfId="0" applyNumberFormat="1" applyFont="1" applyFill="1" applyBorder="1" applyAlignment="1">
      <alignment/>
    </xf>
    <xf numFmtId="187" fontId="27" fillId="33" borderId="14" xfId="0" applyNumberFormat="1" applyFont="1" applyFill="1" applyBorder="1" applyAlignment="1">
      <alignment/>
    </xf>
    <xf numFmtId="2" fontId="0" fillId="35" borderId="0" xfId="0" applyNumberFormat="1" applyFill="1" applyBorder="1" applyAlignment="1">
      <alignment horizontal="right"/>
    </xf>
    <xf numFmtId="2" fontId="0" fillId="33" borderId="14" xfId="0" applyNumberFormat="1" applyFill="1" applyBorder="1" applyAlignment="1">
      <alignment horizontal="right"/>
    </xf>
    <xf numFmtId="188" fontId="0" fillId="33" borderId="14" xfId="0" applyNumberFormat="1" applyFill="1" applyBorder="1" applyAlignment="1">
      <alignment horizontal="right"/>
    </xf>
    <xf numFmtId="0" fontId="4" fillId="0" borderId="0" xfId="0" applyFont="1" applyBorder="1" applyAlignment="1">
      <alignment horizontal="center"/>
    </xf>
    <xf numFmtId="0" fontId="0" fillId="0" borderId="10" xfId="0" applyBorder="1" applyAlignment="1">
      <alignment horizontal="center"/>
    </xf>
    <xf numFmtId="188" fontId="0" fillId="36" borderId="14" xfId="0" applyNumberFormat="1" applyFill="1" applyBorder="1" applyAlignment="1">
      <alignment/>
    </xf>
    <xf numFmtId="2" fontId="0" fillId="36" borderId="14" xfId="0" applyNumberFormat="1" applyFill="1" applyBorder="1" applyAlignment="1">
      <alignment horizontal="right"/>
    </xf>
    <xf numFmtId="2" fontId="0" fillId="36" borderId="14" xfId="0" applyNumberFormat="1" applyFill="1" applyBorder="1" applyAlignment="1">
      <alignment/>
    </xf>
    <xf numFmtId="188" fontId="1" fillId="36" borderId="14" xfId="0" applyNumberFormat="1" applyFont="1" applyFill="1" applyBorder="1" applyAlignment="1">
      <alignment/>
    </xf>
    <xf numFmtId="1" fontId="0" fillId="36" borderId="14" xfId="0" applyNumberFormat="1" applyFont="1" applyFill="1" applyBorder="1" applyAlignment="1">
      <alignment/>
    </xf>
    <xf numFmtId="2" fontId="0" fillId="36" borderId="14" xfId="0" applyNumberFormat="1" applyFont="1" applyFill="1" applyBorder="1" applyAlignment="1">
      <alignment/>
    </xf>
    <xf numFmtId="187" fontId="0" fillId="36" borderId="14" xfId="0" applyNumberFormat="1" applyFill="1" applyBorder="1" applyAlignment="1">
      <alignment/>
    </xf>
    <xf numFmtId="188" fontId="1" fillId="36" borderId="14" xfId="0" applyNumberFormat="1" applyFont="1" applyFill="1" applyBorder="1" applyAlignment="1">
      <alignment horizontal="right"/>
    </xf>
    <xf numFmtId="1" fontId="0" fillId="36" borderId="14" xfId="0" applyNumberFormat="1" applyFill="1" applyBorder="1" applyAlignment="1">
      <alignment/>
    </xf>
    <xf numFmtId="0" fontId="1" fillId="0" borderId="0" xfId="0" applyFont="1" applyAlignment="1">
      <alignment horizontal="center"/>
    </xf>
    <xf numFmtId="0" fontId="10" fillId="0" borderId="0" xfId="0" applyFont="1" applyAlignment="1">
      <alignment/>
    </xf>
    <xf numFmtId="0" fontId="14" fillId="35" borderId="0" xfId="0" applyFont="1" applyFill="1" applyBorder="1" applyAlignment="1">
      <alignment vertical="center"/>
    </xf>
    <xf numFmtId="0" fontId="2" fillId="35" borderId="0" xfId="0" applyFont="1" applyFill="1" applyBorder="1" applyAlignment="1">
      <alignment horizontal="right"/>
    </xf>
    <xf numFmtId="1" fontId="0" fillId="36" borderId="14" xfId="0" applyNumberFormat="1" applyFill="1" applyBorder="1" applyAlignment="1">
      <alignment horizontal="center"/>
    </xf>
    <xf numFmtId="188" fontId="0" fillId="38" borderId="14" xfId="0" applyNumberFormat="1" applyFill="1" applyBorder="1" applyAlignment="1">
      <alignment horizontal="right"/>
    </xf>
    <xf numFmtId="0" fontId="0" fillId="36" borderId="14" xfId="0" applyFill="1" applyBorder="1" applyAlignment="1" applyProtection="1">
      <alignment/>
      <protection locked="0"/>
    </xf>
    <xf numFmtId="187" fontId="0" fillId="36" borderId="14" xfId="0" applyNumberFormat="1" applyFill="1" applyBorder="1" applyAlignment="1" applyProtection="1">
      <alignment/>
      <protection locked="0"/>
    </xf>
    <xf numFmtId="188" fontId="0" fillId="36" borderId="14" xfId="0" applyNumberFormat="1" applyFill="1" applyBorder="1" applyAlignment="1" applyProtection="1">
      <alignment/>
      <protection locked="0"/>
    </xf>
    <xf numFmtId="0" fontId="0" fillId="36" borderId="14" xfId="0" applyFill="1" applyBorder="1" applyAlignment="1" applyProtection="1">
      <alignment horizontal="center"/>
      <protection locked="0"/>
    </xf>
    <xf numFmtId="2" fontId="27" fillId="36" borderId="14" xfId="0" applyNumberFormat="1" applyFont="1" applyFill="1" applyBorder="1" applyAlignment="1" applyProtection="1">
      <alignment horizontal="right"/>
      <protection locked="0"/>
    </xf>
    <xf numFmtId="2" fontId="0" fillId="36" borderId="14" xfId="0" applyNumberFormat="1" applyFill="1" applyBorder="1" applyAlignment="1" applyProtection="1">
      <alignment horizontal="right"/>
      <protection locked="0"/>
    </xf>
    <xf numFmtId="0" fontId="0" fillId="33" borderId="14" xfId="0" applyFill="1" applyBorder="1" applyAlignment="1" applyProtection="1">
      <alignment/>
      <protection/>
    </xf>
    <xf numFmtId="188" fontId="0" fillId="36" borderId="14" xfId="0" applyNumberFormat="1" applyFill="1" applyBorder="1" applyAlignment="1">
      <alignment horizontal="right"/>
    </xf>
    <xf numFmtId="2" fontId="27" fillId="36" borderId="14" xfId="0" applyNumberFormat="1" applyFont="1" applyFill="1" applyBorder="1" applyAlignment="1">
      <alignment horizontal="right"/>
    </xf>
    <xf numFmtId="0" fontId="0" fillId="36" borderId="14" xfId="0" applyFill="1" applyBorder="1" applyAlignment="1">
      <alignment/>
    </xf>
    <xf numFmtId="0" fontId="0" fillId="36" borderId="14" xfId="0" applyFill="1" applyBorder="1" applyAlignment="1">
      <alignment horizontal="right"/>
    </xf>
    <xf numFmtId="0" fontId="0" fillId="36" borderId="46" xfId="0" applyFill="1" applyBorder="1" applyAlignment="1">
      <alignment/>
    </xf>
    <xf numFmtId="2" fontId="0" fillId="36" borderId="35" xfId="0" applyNumberFormat="1" applyFill="1" applyBorder="1" applyAlignment="1">
      <alignment/>
    </xf>
    <xf numFmtId="2" fontId="0" fillId="36" borderId="41" xfId="0" applyNumberFormat="1" applyFill="1" applyBorder="1" applyAlignment="1">
      <alignment/>
    </xf>
    <xf numFmtId="1" fontId="1" fillId="36" borderId="14" xfId="0" applyNumberFormat="1" applyFont="1" applyFill="1" applyBorder="1" applyAlignment="1">
      <alignment/>
    </xf>
    <xf numFmtId="0" fontId="16" fillId="35" borderId="0" xfId="0" applyFont="1" applyFill="1" applyBorder="1" applyAlignment="1">
      <alignment horizontal="center"/>
    </xf>
    <xf numFmtId="0" fontId="22" fillId="39" borderId="47" xfId="0" applyFont="1" applyFill="1" applyBorder="1" applyAlignment="1">
      <alignment horizontal="center"/>
    </xf>
    <xf numFmtId="0" fontId="22" fillId="39" borderId="48" xfId="0" applyFont="1" applyFill="1" applyBorder="1" applyAlignment="1">
      <alignment horizontal="center"/>
    </xf>
    <xf numFmtId="0" fontId="22" fillId="39" borderId="49" xfId="0" applyFont="1" applyFill="1" applyBorder="1" applyAlignment="1">
      <alignment horizontal="center"/>
    </xf>
    <xf numFmtId="0" fontId="0" fillId="37" borderId="12" xfId="0" applyFill="1" applyBorder="1" applyAlignment="1">
      <alignment horizontal="center"/>
    </xf>
    <xf numFmtId="0" fontId="0" fillId="37" borderId="0" xfId="0" applyFill="1" applyBorder="1" applyAlignment="1">
      <alignment horizontal="center"/>
    </xf>
    <xf numFmtId="0" fontId="0" fillId="37" borderId="13" xfId="0" applyFill="1" applyBorder="1" applyAlignment="1">
      <alignment horizontal="center"/>
    </xf>
    <xf numFmtId="0" fontId="1" fillId="35" borderId="50" xfId="0" applyFont="1" applyFill="1" applyBorder="1" applyAlignment="1">
      <alignment horizontal="center"/>
    </xf>
    <xf numFmtId="0" fontId="6" fillId="34" borderId="51" xfId="0" applyFont="1" applyFill="1" applyBorder="1" applyAlignment="1">
      <alignment horizontal="center"/>
    </xf>
    <xf numFmtId="0" fontId="6" fillId="34" borderId="52" xfId="0" applyFont="1" applyFill="1" applyBorder="1" applyAlignment="1">
      <alignment horizontal="center"/>
    </xf>
    <xf numFmtId="0" fontId="6" fillId="34" borderId="53" xfId="0" applyFont="1" applyFill="1" applyBorder="1" applyAlignment="1">
      <alignment horizontal="center"/>
    </xf>
    <xf numFmtId="0" fontId="9" fillId="37" borderId="54" xfId="0" applyFont="1" applyFill="1" applyBorder="1" applyAlignment="1">
      <alignment horizontal="center"/>
    </xf>
    <xf numFmtId="0" fontId="9" fillId="37" borderId="55" xfId="0" applyFont="1" applyFill="1" applyBorder="1" applyAlignment="1">
      <alignment horizontal="center"/>
    </xf>
    <xf numFmtId="0" fontId="9" fillId="37" borderId="56" xfId="0" applyFont="1" applyFill="1" applyBorder="1" applyAlignment="1">
      <alignment horizontal="center"/>
    </xf>
    <xf numFmtId="0" fontId="6" fillId="35" borderId="0" xfId="0" applyFont="1" applyFill="1" applyBorder="1" applyAlignment="1">
      <alignment horizontal="center"/>
    </xf>
    <xf numFmtId="0" fontId="0" fillId="36" borderId="15"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36" borderId="17"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6" borderId="10" xfId="0" applyFill="1" applyBorder="1" applyAlignment="1" applyProtection="1">
      <alignment horizontal="left"/>
      <protection locked="0"/>
    </xf>
    <xf numFmtId="0" fontId="0" fillId="36" borderId="19" xfId="0" applyFill="1" applyBorder="1" applyAlignment="1" applyProtection="1">
      <alignment horizontal="left"/>
      <protection locked="0"/>
    </xf>
    <xf numFmtId="2" fontId="27" fillId="36" borderId="41" xfId="0" applyNumberFormat="1" applyFont="1" applyFill="1" applyBorder="1" applyAlignment="1">
      <alignment horizontal="center"/>
    </xf>
    <xf numFmtId="2" fontId="27" fillId="36" borderId="23" xfId="0" applyNumberFormat="1" applyFont="1" applyFill="1" applyBorder="1" applyAlignment="1">
      <alignment horizontal="center"/>
    </xf>
    <xf numFmtId="0" fontId="0" fillId="35" borderId="0" xfId="0" applyFill="1" applyBorder="1" applyAlignment="1">
      <alignment horizontal="center"/>
    </xf>
    <xf numFmtId="188" fontId="28" fillId="35" borderId="10" xfId="0" applyNumberFormat="1" applyFont="1" applyFill="1" applyBorder="1" applyAlignment="1">
      <alignment horizontal="center"/>
    </xf>
    <xf numFmtId="0" fontId="27" fillId="35" borderId="11" xfId="0" applyFont="1" applyFill="1" applyBorder="1" applyAlignment="1">
      <alignment horizontal="center"/>
    </xf>
    <xf numFmtId="0" fontId="0" fillId="36" borderId="15"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18" xfId="0" applyFill="1" applyBorder="1" applyAlignment="1">
      <alignment horizontal="left"/>
    </xf>
    <xf numFmtId="0" fontId="0" fillId="36" borderId="10" xfId="0" applyFill="1" applyBorder="1" applyAlignment="1">
      <alignment horizontal="left"/>
    </xf>
    <xf numFmtId="0" fontId="0" fillId="36" borderId="19" xfId="0" applyFill="1" applyBorder="1" applyAlignment="1">
      <alignment horizontal="left"/>
    </xf>
    <xf numFmtId="0" fontId="0" fillId="0" borderId="0" xfId="0" applyFont="1" applyAlignment="1">
      <alignment horizontal="center"/>
    </xf>
    <xf numFmtId="0" fontId="7" fillId="0" borderId="0" xfId="0" applyFont="1" applyAlignment="1">
      <alignment horizontal="center"/>
    </xf>
    <xf numFmtId="187" fontId="1" fillId="0" borderId="11" xfId="0" applyNumberFormat="1"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xf>
    <xf numFmtId="0" fontId="12" fillId="0" borderId="41" xfId="0" applyFont="1" applyBorder="1" applyAlignment="1">
      <alignment horizontal="center"/>
    </xf>
    <xf numFmtId="0" fontId="12" fillId="0" borderId="11" xfId="0" applyFont="1" applyBorder="1" applyAlignment="1">
      <alignment horizontal="center"/>
    </xf>
    <xf numFmtId="0" fontId="12"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075"/>
          <c:y val="0.01225"/>
          <c:w val="0.94125"/>
          <c:h val="0.94625"/>
        </c:manualLayout>
      </c:layout>
      <c:scatterChart>
        <c:scatterStyle val="smoothMarker"/>
        <c:varyColors val="0"/>
        <c:ser>
          <c:idx val="4"/>
          <c:order val="0"/>
          <c:tx>
            <c:v>Mill Discharge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80000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Data_File!$L$25:$L$44</c:f>
              <c:numCache>
                <c:ptCount val="20"/>
                <c:pt idx="0">
                  <c:v>100</c:v>
                </c:pt>
                <c:pt idx="1">
                  <c:v>100</c:v>
                </c:pt>
                <c:pt idx="2">
                  <c:v>99.45437441204139</c:v>
                </c:pt>
                <c:pt idx="3">
                  <c:v>98.8758231420508</c:v>
                </c:pt>
                <c:pt idx="4">
                  <c:v>98.57949200376294</c:v>
                </c:pt>
                <c:pt idx="5">
                  <c:v>97.97271872060207</c:v>
                </c:pt>
                <c:pt idx="6">
                  <c:v>96.98494825964252</c:v>
                </c:pt>
                <c:pt idx="7">
                  <c:v>95.68673565380998</c:v>
                </c:pt>
                <c:pt idx="8">
                  <c:v>93.46190028222013</c:v>
                </c:pt>
                <c:pt idx="9">
                  <c:v>90.23988711194733</c:v>
                </c:pt>
                <c:pt idx="10">
                  <c:v>84.77892756349954</c:v>
                </c:pt>
                <c:pt idx="11">
                  <c:v>74.20978363123237</c:v>
                </c:pt>
                <c:pt idx="12">
                  <c:v>59.20978363123236</c:v>
                </c:pt>
                <c:pt idx="13">
                  <c:v>41.86735653809972</c:v>
                </c:pt>
                <c:pt idx="14">
                  <c:v>32.74</c:v>
                </c:pt>
                <c:pt idx="15">
                  <c:v>20.08936970837253</c:v>
                </c:pt>
                <c:pt idx="16">
                  <c:v>14.764816556914397</c:v>
                </c:pt>
                <c:pt idx="17">
                  <c:v>11.086547507055514</c:v>
                </c:pt>
                <c:pt idx="18">
                  <c:v>9.651928504233311</c:v>
                </c:pt>
                <c:pt idx="19">
                  <c:v>8.711194731890885</c:v>
                </c:pt>
              </c:numCache>
            </c:numRef>
          </c:yVal>
          <c:smooth val="1"/>
        </c:ser>
        <c:ser>
          <c:idx val="0"/>
          <c:order val="1"/>
          <c:tx>
            <c:v>Cyclone U'flow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Data_File!$R$25:$R$44</c:f>
              <c:numCache>
                <c:ptCount val="20"/>
                <c:pt idx="0">
                  <c:v>100</c:v>
                </c:pt>
                <c:pt idx="1">
                  <c:v>99.15583319263887</c:v>
                </c:pt>
                <c:pt idx="2">
                  <c:v>98.57757892959648</c:v>
                </c:pt>
                <c:pt idx="3">
                  <c:v>97.7671787945298</c:v>
                </c:pt>
                <c:pt idx="4">
                  <c:v>97.07496201249367</c:v>
                </c:pt>
                <c:pt idx="5">
                  <c:v>95.79604929934155</c:v>
                </c:pt>
                <c:pt idx="6">
                  <c:v>93.94732399122067</c:v>
                </c:pt>
                <c:pt idx="7">
                  <c:v>91.79047779841297</c:v>
                </c:pt>
                <c:pt idx="8">
                  <c:v>88.26186054364342</c:v>
                </c:pt>
                <c:pt idx="9">
                  <c:v>83.7793347965558</c:v>
                </c:pt>
                <c:pt idx="10">
                  <c:v>76.96690866115145</c:v>
                </c:pt>
                <c:pt idx="11">
                  <c:v>64.2790815465136</c:v>
                </c:pt>
                <c:pt idx="12">
                  <c:v>45.77</c:v>
                </c:pt>
                <c:pt idx="13">
                  <c:v>31.79132196522032</c:v>
                </c:pt>
                <c:pt idx="14">
                  <c:v>19.25122404187067</c:v>
                </c:pt>
                <c:pt idx="15">
                  <c:v>11.742360290393378</c:v>
                </c:pt>
                <c:pt idx="16">
                  <c:v>7.631267938544653</c:v>
                </c:pt>
                <c:pt idx="17">
                  <c:v>5.0650008441668035</c:v>
                </c:pt>
                <c:pt idx="18">
                  <c:v>4.136417356069558</c:v>
                </c:pt>
                <c:pt idx="19">
                  <c:v>3.553942258990375</c:v>
                </c:pt>
              </c:numCache>
            </c:numRef>
          </c:yVal>
          <c:smooth val="1"/>
        </c:ser>
        <c:ser>
          <c:idx val="1"/>
          <c:order val="2"/>
          <c:tx>
            <c:v>Cyclone O'flow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80"/>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Data_File!$U$25:$U$44</c:f>
              <c:numCache>
                <c:ptCount val="20"/>
                <c:pt idx="0">
                  <c:v>100</c:v>
                </c:pt>
                <c:pt idx="1">
                  <c:v>100</c:v>
                </c:pt>
                <c:pt idx="2">
                  <c:v>100</c:v>
                </c:pt>
                <c:pt idx="3">
                  <c:v>100</c:v>
                </c:pt>
                <c:pt idx="4">
                  <c:v>100</c:v>
                </c:pt>
                <c:pt idx="5">
                  <c:v>100</c:v>
                </c:pt>
                <c:pt idx="6">
                  <c:v>100</c:v>
                </c:pt>
                <c:pt idx="7">
                  <c:v>100</c:v>
                </c:pt>
                <c:pt idx="8">
                  <c:v>100</c:v>
                </c:pt>
                <c:pt idx="9">
                  <c:v>100</c:v>
                </c:pt>
                <c:pt idx="10">
                  <c:v>100</c:v>
                </c:pt>
                <c:pt idx="11">
                  <c:v>96.04868432330505</c:v>
                </c:pt>
                <c:pt idx="12">
                  <c:v>90.93168766606668</c:v>
                </c:pt>
                <c:pt idx="13">
                  <c:v>82.03479900574268</c:v>
                </c:pt>
                <c:pt idx="14">
                  <c:v>71.19225164995285</c:v>
                </c:pt>
                <c:pt idx="15">
                  <c:v>55.07</c:v>
                </c:pt>
                <c:pt idx="16">
                  <c:v>48.144338733179055</c:v>
                </c:pt>
                <c:pt idx="17">
                  <c:v>38.91317390931688</c:v>
                </c:pt>
                <c:pt idx="18">
                  <c:v>35.913259621153685</c:v>
                </c:pt>
                <c:pt idx="19">
                  <c:v>32.93048770035142</c:v>
                </c:pt>
              </c:numCache>
            </c:numRef>
          </c:yVal>
          <c:smooth val="1"/>
        </c:ser>
        <c:ser>
          <c:idx val="2"/>
          <c:order val="3"/>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Reports!$F$24:$F$43</c:f>
              <c:numCache>
                <c:ptCount val="20"/>
                <c:pt idx="0">
                  <c:v>99.99999999999996</c:v>
                </c:pt>
                <c:pt idx="1">
                  <c:v>99.71857737250966</c:v>
                </c:pt>
                <c:pt idx="2">
                  <c:v>99.48511121920328</c:v>
                </c:pt>
                <c:pt idx="3">
                  <c:v>99.39902484606384</c:v>
                </c:pt>
                <c:pt idx="4">
                  <c:v>99.31850399378123</c:v>
                </c:pt>
                <c:pt idx="5">
                  <c:v>98.98296916208103</c:v>
                </c:pt>
                <c:pt idx="6">
                  <c:v>98.23885310190099</c:v>
                </c:pt>
                <c:pt idx="7">
                  <c:v>97.25365222319485</c:v>
                </c:pt>
                <c:pt idx="8">
                  <c:v>95.21667812490618</c:v>
                </c:pt>
                <c:pt idx="9">
                  <c:v>92.14460227291349</c:v>
                </c:pt>
                <c:pt idx="10">
                  <c:v>87.26499715282074</c:v>
                </c:pt>
                <c:pt idx="11">
                  <c:v>75.45393049405324</c:v>
                </c:pt>
                <c:pt idx="12">
                  <c:v>58.52096372835453</c:v>
                </c:pt>
                <c:pt idx="13">
                  <c:v>42.69832760788249</c:v>
                </c:pt>
                <c:pt idx="14">
                  <c:v>30.676412852127918</c:v>
                </c:pt>
                <c:pt idx="15">
                  <c:v>19.44682417644404</c:v>
                </c:pt>
                <c:pt idx="16">
                  <c:v>14.492547001636307</c:v>
                </c:pt>
                <c:pt idx="17">
                  <c:v>10.744353522579589</c:v>
                </c:pt>
                <c:pt idx="18">
                  <c:v>9.432500556652492</c:v>
                </c:pt>
                <c:pt idx="19">
                  <c:v>8.413872795129574</c:v>
                </c:pt>
              </c:numCache>
            </c:numRef>
          </c:yVal>
          <c:smooth val="1"/>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Reports!$I$24:$I$43</c:f>
              <c:numCache>
                <c:ptCount val="20"/>
                <c:pt idx="0">
                  <c:v>99.99999999999999</c:v>
                </c:pt>
                <c:pt idx="1">
                  <c:v>99.35449090266565</c:v>
                </c:pt>
                <c:pt idx="2">
                  <c:v>98.56688613498542</c:v>
                </c:pt>
                <c:pt idx="3">
                  <c:v>97.43139553462176</c:v>
                </c:pt>
                <c:pt idx="4">
                  <c:v>96.60106183236273</c:v>
                </c:pt>
                <c:pt idx="5">
                  <c:v>95.14943287389595</c:v>
                </c:pt>
                <c:pt idx="6">
                  <c:v>93.14609940984883</c:v>
                </c:pt>
                <c:pt idx="7">
                  <c:v>90.78695543851525</c:v>
                </c:pt>
                <c:pt idx="8">
                  <c:v>87.14245107844683</c:v>
                </c:pt>
                <c:pt idx="9">
                  <c:v>82.58035934212448</c:v>
                </c:pt>
                <c:pt idx="10">
                  <c:v>75.47738675780127</c:v>
                </c:pt>
                <c:pt idx="11">
                  <c:v>63.131335229521234</c:v>
                </c:pt>
                <c:pt idx="12">
                  <c:v>46.03092783861932</c:v>
                </c:pt>
                <c:pt idx="13">
                  <c:v>31.016956720477715</c:v>
                </c:pt>
                <c:pt idx="14">
                  <c:v>20.44429526265425</c:v>
                </c:pt>
                <c:pt idx="15">
                  <c:v>11.488926726468716</c:v>
                </c:pt>
                <c:pt idx="16">
                  <c:v>7.625395635889417</c:v>
                </c:pt>
                <c:pt idx="17">
                  <c:v>5.001034370033029</c:v>
                </c:pt>
                <c:pt idx="18">
                  <c:v>4.144886555480982</c:v>
                </c:pt>
                <c:pt idx="19">
                  <c:v>3.5806723236688494</c:v>
                </c:pt>
              </c:numCache>
            </c:numRef>
          </c:yVal>
          <c:smooth val="1"/>
        </c:ser>
        <c:ser>
          <c:idx val="5"/>
          <c:order val="5"/>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Reports!$J$24:$J$43</c:f>
              <c:numCache>
                <c:ptCount val="20"/>
                <c:pt idx="0">
                  <c:v>100.00000000000001</c:v>
                </c:pt>
                <c:pt idx="1">
                  <c:v>99.9911411235676</c:v>
                </c:pt>
                <c:pt idx="2">
                  <c:v>99.98033214604759</c:v>
                </c:pt>
                <c:pt idx="3">
                  <c:v>99.96474882785334</c:v>
                </c:pt>
                <c:pt idx="4">
                  <c:v>99.9533532003985</c:v>
                </c:pt>
                <c:pt idx="5">
                  <c:v>99.93342068483203</c:v>
                </c:pt>
                <c:pt idx="6">
                  <c:v>99.90568818203576</c:v>
                </c:pt>
                <c:pt idx="7">
                  <c:v>99.87090398169195</c:v>
                </c:pt>
                <c:pt idx="8">
                  <c:v>99.79972906265657</c:v>
                </c:pt>
                <c:pt idx="9">
                  <c:v>99.63217191402211</c:v>
                </c:pt>
                <c:pt idx="10">
                  <c:v>99.0574554030362</c:v>
                </c:pt>
                <c:pt idx="11">
                  <c:v>96.87940018326081</c:v>
                </c:pt>
                <c:pt idx="12">
                  <c:v>90.92837985555067</c:v>
                </c:pt>
                <c:pt idx="13">
                  <c:v>81.5848459953097</c:v>
                </c:pt>
                <c:pt idx="14">
                  <c:v>70.76995683925111</c:v>
                </c:pt>
                <c:pt idx="15">
                  <c:v>56.64478813837541</c:v>
                </c:pt>
                <c:pt idx="16">
                  <c:v>47.69731546828115</c:v>
                </c:pt>
                <c:pt idx="17">
                  <c:v>39.10319693535503</c:v>
                </c:pt>
                <c:pt idx="18">
                  <c:v>35.51661589383319</c:v>
                </c:pt>
                <c:pt idx="19">
                  <c:v>32.749379611602215</c:v>
                </c:pt>
              </c:numCache>
            </c:numRef>
          </c:yVal>
          <c:smooth val="1"/>
        </c:ser>
        <c:ser>
          <c:idx val="6"/>
          <c:order val="6"/>
          <c:tx>
            <c:v>Fresh Feed</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FF"/>
              </a:solidFill>
              <a:ln>
                <a:solidFill>
                  <a:srgbClr val="339966"/>
                </a:solidFill>
              </a:ln>
            </c:spPr>
          </c:marker>
          <c:xVal>
            <c:numRef>
              <c:f>Data_File!$E$25:$E$44</c:f>
              <c:numCache>
                <c:ptCount val="20"/>
                <c:pt idx="0">
                  <c:v>19050</c:v>
                </c:pt>
                <c:pt idx="1">
                  <c:v>12700</c:v>
                </c:pt>
                <c:pt idx="2">
                  <c:v>9500</c:v>
                </c:pt>
                <c:pt idx="3">
                  <c:v>6350</c:v>
                </c:pt>
                <c:pt idx="4">
                  <c:v>4750</c:v>
                </c:pt>
                <c:pt idx="5">
                  <c:v>3350</c:v>
                </c:pt>
                <c:pt idx="6">
                  <c:v>2360</c:v>
                </c:pt>
                <c:pt idx="7">
                  <c:v>1700</c:v>
                </c:pt>
                <c:pt idx="8">
                  <c:v>1180</c:v>
                </c:pt>
                <c:pt idx="9">
                  <c:v>850</c:v>
                </c:pt>
                <c:pt idx="10">
                  <c:v>600</c:v>
                </c:pt>
                <c:pt idx="11">
                  <c:v>425</c:v>
                </c:pt>
                <c:pt idx="12">
                  <c:v>300</c:v>
                </c:pt>
                <c:pt idx="13">
                  <c:v>212</c:v>
                </c:pt>
                <c:pt idx="14">
                  <c:v>150</c:v>
                </c:pt>
                <c:pt idx="15">
                  <c:v>106</c:v>
                </c:pt>
                <c:pt idx="16">
                  <c:v>75</c:v>
                </c:pt>
                <c:pt idx="17">
                  <c:v>53</c:v>
                </c:pt>
                <c:pt idx="18">
                  <c:v>44</c:v>
                </c:pt>
                <c:pt idx="19">
                  <c:v>37</c:v>
                </c:pt>
              </c:numCache>
            </c:numRef>
          </c:xVal>
          <c:yVal>
            <c:numRef>
              <c:f>Data_File!$I$25:$I$44</c:f>
              <c:numCache>
                <c:ptCount val="20"/>
                <c:pt idx="0">
                  <c:v>100</c:v>
                </c:pt>
                <c:pt idx="1">
                  <c:v>98.48577680525165</c:v>
                </c:pt>
                <c:pt idx="2">
                  <c:v>96.18380743982495</c:v>
                </c:pt>
                <c:pt idx="3">
                  <c:v>91.8293216630197</c:v>
                </c:pt>
                <c:pt idx="4">
                  <c:v>88.71772428884026</c:v>
                </c:pt>
                <c:pt idx="5">
                  <c:v>84.08315098468272</c:v>
                </c:pt>
                <c:pt idx="6">
                  <c:v>78.84901531728666</c:v>
                </c:pt>
                <c:pt idx="7">
                  <c:v>73.13347921225383</c:v>
                </c:pt>
                <c:pt idx="8">
                  <c:v>66.41575492341357</c:v>
                </c:pt>
                <c:pt idx="9">
                  <c:v>60.0875273522976</c:v>
                </c:pt>
                <c:pt idx="10">
                  <c:v>50.32</c:v>
                </c:pt>
                <c:pt idx="11">
                  <c:v>45.92997811816193</c:v>
                </c:pt>
                <c:pt idx="12">
                  <c:v>39.286652078774615</c:v>
                </c:pt>
                <c:pt idx="13">
                  <c:v>33.28665207877461</c:v>
                </c:pt>
                <c:pt idx="14">
                  <c:v>28.46389496717724</c:v>
                </c:pt>
                <c:pt idx="15">
                  <c:v>23.7417943107221</c:v>
                </c:pt>
                <c:pt idx="16">
                  <c:v>19.304157549234134</c:v>
                </c:pt>
                <c:pt idx="17">
                  <c:v>15.356673960612696</c:v>
                </c:pt>
                <c:pt idx="18">
                  <c:v>13.654266958424515</c:v>
                </c:pt>
                <c:pt idx="19">
                  <c:v>12.76586433260394</c:v>
                </c:pt>
              </c:numCache>
            </c:numRef>
          </c:yVal>
          <c:smooth val="1"/>
        </c:ser>
        <c:axId val="38712625"/>
        <c:axId val="12869306"/>
      </c:scatterChart>
      <c:valAx>
        <c:axId val="38712625"/>
        <c:scaling>
          <c:logBase val="10"/>
          <c:orientation val="minMax"/>
          <c:max val="10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Particle Size, microns</a:t>
                </a:r>
              </a:p>
            </c:rich>
          </c:tx>
          <c:layout>
            <c:manualLayout>
              <c:xMode val="factor"/>
              <c:yMode val="factor"/>
              <c:x val="-0.004"/>
              <c:y val="-0.001"/>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69306"/>
        <c:crosses val="autoZero"/>
        <c:crossBetween val="midCat"/>
        <c:dispUnits/>
      </c:valAx>
      <c:valAx>
        <c:axId val="12869306"/>
        <c:scaling>
          <c:logBase val="10"/>
          <c:orientation val="minMax"/>
          <c:max val="100"/>
          <c:min val="1"/>
        </c:scaling>
        <c:axPos val="l"/>
        <c:title>
          <c:tx>
            <c:rich>
              <a:bodyPr vert="horz" rot="-5400000" anchor="ctr"/>
              <a:lstStyle/>
              <a:p>
                <a:pPr algn="ctr">
                  <a:defRPr/>
                </a:pPr>
                <a:r>
                  <a:rPr lang="en-US" cap="none" sz="800" b="1" i="0" u="none" baseline="0">
                    <a:solidFill>
                      <a:srgbClr val="000000"/>
                    </a:solidFill>
                    <a:latin typeface="Arial"/>
                    <a:ea typeface="Arial"/>
                    <a:cs typeface="Arial"/>
                  </a:rPr>
                  <a:t>% Passing</a:t>
                </a:r>
              </a:p>
            </c:rich>
          </c:tx>
          <c:layout>
            <c:manualLayout>
              <c:xMode val="factor"/>
              <c:yMode val="factor"/>
              <c:x val="-0.00375"/>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712625"/>
        <c:crosses val="autoZero"/>
        <c:crossBetween val="midCat"/>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6625"/>
          <c:y val="0.66575"/>
          <c:w val="0.24775"/>
          <c:h val="0.16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152400</xdr:rowOff>
    </xdr:from>
    <xdr:to>
      <xdr:col>12</xdr:col>
      <xdr:colOff>0</xdr:colOff>
      <xdr:row>53</xdr:row>
      <xdr:rowOff>133350</xdr:rowOff>
    </xdr:to>
    <xdr:sp>
      <xdr:nvSpPr>
        <xdr:cNvPr id="1" name="Text Box 2"/>
        <xdr:cNvSpPr txBox="1">
          <a:spLocks noChangeArrowheads="1"/>
        </xdr:cNvSpPr>
      </xdr:nvSpPr>
      <xdr:spPr>
        <a:xfrm>
          <a:off x="114300" y="4762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BallBal_Reverse</a:t>
          </a:r>
          <a:r>
            <a:rPr lang="en-US" cap="none" sz="1000" b="0" i="0" u="none" baseline="0">
              <a:solidFill>
                <a:srgbClr val="000000"/>
              </a:solidFill>
              <a:latin typeface="Arial"/>
              <a:ea typeface="Arial"/>
              <a:cs typeface="Arial"/>
            </a:rPr>
            <a:t> spreadsheet was designed to compute the </a:t>
          </a:r>
          <a:r>
            <a:rPr lang="en-US" cap="none" sz="1000" b="1" i="0" u="none" baseline="0">
              <a:solidFill>
                <a:srgbClr val="000000"/>
              </a:solidFill>
              <a:latin typeface="Arial"/>
              <a:ea typeface="Arial"/>
              <a:cs typeface="Arial"/>
            </a:rPr>
            <a:t>Size-by-Size Mass Balance</a:t>
          </a:r>
          <a:r>
            <a:rPr lang="en-US" cap="none" sz="1000" b="0" i="0" u="none" baseline="0">
              <a:solidFill>
                <a:srgbClr val="000000"/>
              </a:solidFill>
              <a:latin typeface="Arial"/>
              <a:ea typeface="Arial"/>
              <a:cs typeface="Arial"/>
            </a:rPr>
            <a:t> around the </a:t>
          </a:r>
          <a:r>
            <a:rPr lang="en-US" cap="none" sz="1000" b="1" i="0" u="none" baseline="0">
              <a:solidFill>
                <a:srgbClr val="000000"/>
              </a:solidFill>
              <a:latin typeface="Arial"/>
              <a:ea typeface="Arial"/>
              <a:cs typeface="Arial"/>
            </a:rPr>
            <a:t>Hydrocyclone Classifiers</a:t>
          </a:r>
          <a:r>
            <a:rPr lang="en-US" cap="none" sz="1000" b="0" i="0" u="none" baseline="0">
              <a:solidFill>
                <a:srgbClr val="000000"/>
              </a:solidFill>
              <a:latin typeface="Arial"/>
              <a:ea typeface="Arial"/>
              <a:cs typeface="Arial"/>
            </a:rPr>
            <a:t> of any given </a:t>
          </a:r>
          <a:r>
            <a:rPr lang="en-US" cap="none" sz="1000" b="1" i="0" u="none" baseline="0">
              <a:solidFill>
                <a:srgbClr val="000000"/>
              </a:solidFill>
              <a:latin typeface="Arial"/>
              <a:ea typeface="Arial"/>
              <a:cs typeface="Arial"/>
            </a:rPr>
            <a:t>Conventional Ball Mill</a:t>
          </a:r>
          <a:r>
            <a:rPr lang="en-US" cap="none" sz="1000" b="0" i="0" u="none" baseline="0">
              <a:solidFill>
                <a:srgbClr val="000000"/>
              </a:solidFill>
              <a:latin typeface="Arial"/>
              <a:ea typeface="Arial"/>
              <a:cs typeface="Arial"/>
            </a:rPr>
            <a:t> circuit, operating under the </a:t>
          </a:r>
          <a:r>
            <a:rPr lang="en-US" cap="none" sz="1000" b="1" i="0" u="none" baseline="0">
              <a:solidFill>
                <a:srgbClr val="000000"/>
              </a:solidFill>
              <a:latin typeface="Arial"/>
              <a:ea typeface="Arial"/>
              <a:cs typeface="Arial"/>
            </a:rPr>
            <a:t>Reverse</a:t>
          </a:r>
          <a:r>
            <a:rPr lang="en-US" cap="none" sz="1000" b="0" i="0" u="none" baseline="0">
              <a:solidFill>
                <a:srgbClr val="000000"/>
              </a:solidFill>
              <a:latin typeface="Arial"/>
              <a:ea typeface="Arial"/>
              <a:cs typeface="Arial"/>
            </a:rPr>
            <a:t> configuration (see </a:t>
          </a:r>
          <a:r>
            <a:rPr lang="en-US" cap="none" sz="1000" b="1" i="0" u="none" baseline="0">
              <a:solidFill>
                <a:srgbClr val="000000"/>
              </a:solidFill>
              <a:latin typeface="Arial"/>
              <a:ea typeface="Arial"/>
              <a:cs typeface="Arial"/>
            </a:rPr>
            <a:t>Flowsheet</a:t>
          </a:r>
          <a:r>
            <a:rPr lang="en-US" cap="none" sz="1000" b="0" i="0" u="none" baseline="0">
              <a:solidFill>
                <a:srgbClr val="000000"/>
              </a:solidFill>
              <a:latin typeface="Arial"/>
              <a:ea typeface="Arial"/>
              <a:cs typeface="Arial"/>
            </a:rPr>
            <a:t>), on the basis of actual plant measurements.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Theoretical Framework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Whenever actual grinding data are collected in a plant environment, they will invariably be affected by natural experimental and measurement errors, in such a way that the basic mass balance equation around the circuit, for particles of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F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MD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U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O    </a:t>
          </a:r>
          <a:r>
            <a:rPr lang="en-US" cap="none" sz="1000" b="1" i="0" u="none" baseline="0">
              <a:solidFill>
                <a:srgbClr val="FF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i = 1,n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will never be satisfied. In the above expression </a:t>
          </a:r>
          <a:r>
            <a:rPr lang="en-US" cap="none" sz="1000" b="1" i="0"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represent the mass flowrate of solids in the circuit fresh feed, mill discharge, underflow and overflow streams, respectively. Similarly,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represent the fraction of those total respective streams corresponding to particles of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Ballbal_Reverse</a:t>
          </a:r>
          <a:r>
            <a:rPr lang="en-US" cap="none" sz="1000" b="0" i="0" u="none" baseline="0">
              <a:solidFill>
                <a:srgbClr val="000000"/>
              </a:solidFill>
              <a:latin typeface="Arial"/>
              <a:ea typeface="Arial"/>
              <a:cs typeface="Arial"/>
            </a:rPr>
            <a:t> routine allows for the calculation of a whole new set of corresponding </a:t>
          </a:r>
          <a:r>
            <a:rPr lang="en-US" cap="none" sz="1000" b="0" i="0" u="sng" baseline="0">
              <a:solidFill>
                <a:srgbClr val="000000"/>
              </a:solidFill>
              <a:latin typeface="Arial"/>
              <a:ea typeface="Arial"/>
              <a:cs typeface="Arial"/>
            </a:rPr>
            <a:t>adjusted</a:t>
          </a:r>
          <a:r>
            <a:rPr lang="en-US" cap="none" sz="1000" b="0" i="0" u="none" baseline="0">
              <a:solidFill>
                <a:srgbClr val="000000"/>
              </a:solidFill>
              <a:latin typeface="Arial"/>
              <a:ea typeface="Arial"/>
              <a:cs typeface="Arial"/>
            </a:rPr>
            <a:t> or </a:t>
          </a:r>
          <a:r>
            <a:rPr lang="en-US" cap="none" sz="1000" b="0" i="0" u="sng" baseline="0">
              <a:solidFill>
                <a:srgbClr val="000000"/>
              </a:solidFill>
              <a:latin typeface="Arial"/>
              <a:ea typeface="Arial"/>
              <a:cs typeface="Arial"/>
            </a:rPr>
            <a:t>fitted</a:t>
          </a:r>
          <a:r>
            <a:rPr lang="en-US" cap="none" sz="1000" b="0" i="0" u="none" baseline="0">
              <a:solidFill>
                <a:srgbClr val="000000"/>
              </a:solidFill>
              <a:latin typeface="Arial"/>
              <a:ea typeface="Arial"/>
              <a:cs typeface="Arial"/>
            </a:rPr>
            <a:t> values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0" i="1" u="none" baseline="0">
              <a:solidFill>
                <a:srgbClr val="000000"/>
              </a:solidFill>
              <a:latin typeface="Arial"/>
              <a:ea typeface="Arial"/>
              <a:cs typeface="Arial"/>
            </a:rPr>
            <a:t>,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0" i="1" u="none" baseline="0">
              <a:solidFill>
                <a:srgbClr val="000000"/>
              </a:solidFill>
              <a:latin typeface="Arial"/>
              <a:ea typeface="Arial"/>
              <a:cs typeface="Arial"/>
            </a:rPr>
            <a:t>,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0" i="1" u="none" baseline="0">
              <a:solidFill>
                <a:srgbClr val="000000"/>
              </a:solidFill>
              <a:latin typeface="Arial"/>
              <a:ea typeface="Arial"/>
              <a:cs typeface="Arial"/>
            </a:rPr>
            <a:t> and 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such that the objective functions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Symbol"/>
              <a:ea typeface="Symbol"/>
              <a:cs typeface="Symbol"/>
            </a:rPr>
            <a:t>f</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  =  [ w</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 w</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every particle size d</a:t>
          </a:r>
          <a:r>
            <a:rPr lang="en-US" cap="none" sz="1000" b="0" i="0" u="none" baseline="-25000">
              <a:solidFill>
                <a:srgbClr val="000000"/>
              </a:solidFill>
              <a:latin typeface="Arial"/>
              <a:ea typeface="Arial"/>
              <a:cs typeface="Arial"/>
            </a:rPr>
            <a: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minimized and the adjusted values so generated strictly satisfy the mass balance restrictions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F</a:t>
          </a:r>
          <a:r>
            <a:rPr lang="en-US" cap="none" sz="1000" b="0" i="1" u="none" baseline="0">
              <a:solidFill>
                <a:srgbClr val="000000"/>
              </a:solidFill>
              <a:latin typeface="Arial"/>
              <a:ea typeface="Arial"/>
              <a:cs typeface="Arial"/>
            </a:rPr>
            <a:t> F</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MD</a:t>
          </a:r>
          <a:r>
            <a:rPr lang="en-US" cap="none" sz="1000" b="0" i="1" u="none" baseline="0">
              <a:solidFill>
                <a:srgbClr val="000000"/>
              </a:solidFill>
              <a:latin typeface="Arial"/>
              <a:ea typeface="Arial"/>
              <a:cs typeface="Arial"/>
            </a:rPr>
            <a:t> MD</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U</a:t>
          </a:r>
          <a:r>
            <a:rPr lang="en-US" cap="none" sz="1000" b="0" i="1" u="none" baseline="0">
              <a:solidFill>
                <a:srgbClr val="000000"/>
              </a:solidFill>
              <a:latin typeface="Arial"/>
              <a:ea typeface="Arial"/>
              <a:cs typeface="Arial"/>
            </a:rPr>
            <a:t> U</a:t>
          </a:r>
          <a:r>
            <a:rPr lang="en-US" cap="none" sz="1000" b="1" i="1" u="none" baseline="0">
              <a:solidFill>
                <a:srgbClr val="000000"/>
              </a:solidFill>
              <a:latin typeface="Arial"/>
              <a:ea typeface="Arial"/>
              <a:cs typeface="Arial"/>
            </a:rPr>
            <a:t> + </a:t>
          </a:r>
          <a:r>
            <a:rPr lang="en-US" cap="none" sz="1000" b="0" i="1" u="none" baseline="0">
              <a:solidFill>
                <a:srgbClr val="000000"/>
              </a:solidFill>
              <a:latin typeface="Arial"/>
              <a:ea typeface="Arial"/>
              <a:cs typeface="Arial"/>
            </a:rPr>
            <a:t>f</a:t>
          </a:r>
          <a:r>
            <a:rPr lang="en-US" cap="none" sz="1000" b="0" i="1" u="none" baseline="-25000">
              <a:solidFill>
                <a:srgbClr val="000000"/>
              </a:solidFill>
              <a:latin typeface="Arial"/>
              <a:ea typeface="Arial"/>
              <a:cs typeface="Arial"/>
            </a:rPr>
            <a:t>i</a:t>
          </a:r>
          <a:r>
            <a:rPr lang="en-US" cap="none" sz="1000" b="0" i="1" u="none" baseline="30000">
              <a:solidFill>
                <a:srgbClr val="000000"/>
              </a:solidFill>
              <a:latin typeface="Arial"/>
              <a:ea typeface="Arial"/>
              <a:cs typeface="Arial"/>
            </a:rPr>
            <a:t>O</a:t>
          </a:r>
          <a:r>
            <a:rPr lang="en-US" cap="none" sz="1000" b="0" i="1" u="none" baseline="0">
              <a:solidFill>
                <a:srgbClr val="000000"/>
              </a:solidFill>
              <a:latin typeface="Arial"/>
              <a:ea typeface="Arial"/>
              <a:cs typeface="Arial"/>
            </a:rPr>
            <a:t> O</a:t>
          </a:r>
          <a:r>
            <a:rPr lang="en-US" cap="none" sz="1000" b="0" i="0" u="none" baseline="0">
              <a:solidFill>
                <a:srgbClr val="000000"/>
              </a:solidFill>
              <a:latin typeface="Arial"/>
              <a:ea typeface="Arial"/>
              <a:cs typeface="Arial"/>
            </a:rPr>
            <a:t>              , for i = 1,n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w</a:t>
          </a:r>
          <a:r>
            <a:rPr lang="en-US" cap="none" sz="1000" b="0"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w</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are user defined </a:t>
          </a:r>
          <a:r>
            <a:rPr lang="en-US" cap="none" sz="1000" b="0" i="0" u="sng" baseline="0">
              <a:solidFill>
                <a:srgbClr val="000000"/>
              </a:solidFill>
              <a:latin typeface="Arial"/>
              <a:ea typeface="Arial"/>
              <a:cs typeface="Arial"/>
            </a:rPr>
            <a:t>weighting factors</a:t>
          </a:r>
          <a:r>
            <a:rPr lang="en-US" cap="none" sz="1000" b="0" i="0" u="none" baseline="0">
              <a:solidFill>
                <a:srgbClr val="000000"/>
              </a:solidFill>
              <a:latin typeface="Arial"/>
              <a:ea typeface="Arial"/>
              <a:cs typeface="Arial"/>
            </a:rPr>
            <a:t> included to represent the relative quality and reliability of the samples from each of the 4 streams and the mass flowrates </a:t>
          </a:r>
          <a:r>
            <a:rPr lang="en-US" cap="none" sz="1000" b="0" i="1" u="none" baseline="0">
              <a:solidFill>
                <a:srgbClr val="000000"/>
              </a:solidFill>
              <a:latin typeface="Arial"/>
              <a:ea typeface="Arial"/>
              <a:cs typeface="Arial"/>
            </a:rPr>
            <a:t>F, MD</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0" i="1"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are calculated as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t>
          </a:r>
          <a:r>
            <a:rPr lang="en-US" cap="none" sz="1000" b="1" i="0" u="none" baseline="0">
              <a:solidFill>
                <a:srgbClr val="000000"/>
              </a:solidFill>
              <a:latin typeface="Arial"/>
              <a:ea typeface="Arial"/>
              <a:cs typeface="Arial"/>
            </a:rPr>
            <a:t>  =  F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MD</a:t>
          </a:r>
          <a:r>
            <a:rPr lang="en-US" cap="none" sz="1000" b="1" i="0" u="none" baseline="0">
              <a:solidFill>
                <a:srgbClr val="000000"/>
              </a:solidFill>
              <a:latin typeface="Arial"/>
              <a:ea typeface="Arial"/>
              <a:cs typeface="Arial"/>
            </a:rPr>
            <a:t> =  F (CL)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a:t>
          </a:r>
          <a:r>
            <a:rPr lang="en-US" cap="none" sz="1000" b="1" i="0" u="none" baseline="0">
              <a:solidFill>
                <a:srgbClr val="000000"/>
              </a:solidFill>
              <a:latin typeface="Arial"/>
              <a:ea typeface="Arial"/>
              <a:cs typeface="Arial"/>
            </a:rPr>
            <a:t>  =  F (CL)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  =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and the </a:t>
          </a:r>
          <a:r>
            <a:rPr lang="en-US" cap="none" sz="1000" b="1" i="0" u="none" baseline="0">
              <a:solidFill>
                <a:srgbClr val="000000"/>
              </a:solidFill>
              <a:latin typeface="Arial"/>
              <a:ea typeface="Arial"/>
              <a:cs typeface="Arial"/>
            </a:rPr>
            <a:t>Circulating Load (CL)</a:t>
          </a:r>
          <a:r>
            <a:rPr lang="en-US" cap="none" sz="1000" b="0" i="0" u="none" baseline="0">
              <a:solidFill>
                <a:srgbClr val="000000"/>
              </a:solidFill>
              <a:latin typeface="Arial"/>
              <a:ea typeface="Arial"/>
              <a:cs typeface="Arial"/>
            </a:rPr>
            <a:t> is estimated from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 = { u</a:t>
          </a:r>
          <a:r>
            <a:rPr lang="en-US" cap="none" sz="1000" b="1" i="0" u="none" baseline="30000">
              <a:solidFill>
                <a:srgbClr val="000000"/>
              </a:solidFill>
              <a:latin typeface="Arial"/>
              <a:ea typeface="Arial"/>
              <a:cs typeface="Arial"/>
            </a:rPr>
            <a:t>sd</a:t>
          </a:r>
          <a:r>
            <a:rPr lang="en-US" cap="none" sz="1000" b="1" i="0" u="none" baseline="0">
              <a:solidFill>
                <a:srgbClr val="000000"/>
              </a:solidFill>
              <a:latin typeface="Arial"/>
              <a:ea typeface="Arial"/>
              <a:cs typeface="Arial"/>
            </a:rPr>
            <a:t>  </a:t>
          </a:r>
          <a:r>
            <a:rPr lang="en-US" cap="none" sz="1600" b="1" i="0" u="none" baseline="0">
              <a:solidFill>
                <a:srgbClr val="000000"/>
              </a:solidFill>
              <a:latin typeface="Symbol"/>
              <a:ea typeface="Symbol"/>
              <a:cs typeface="Symbol"/>
            </a:rPr>
            <a:t>S</a:t>
          </a:r>
          <a:r>
            <a:rPr lang="en-US" cap="none" sz="1000" b="1" i="0" u="none" baseline="0">
              <a:solidFill>
                <a:srgbClr val="000000"/>
              </a:solidFill>
              <a:latin typeface="Arial"/>
              <a:ea typeface="Arial"/>
              <a:cs typeface="Arial"/>
            </a:rPr>
            <a:t>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MD</a:t>
          </a:r>
          <a:r>
            <a:rPr lang="en-US" cap="none" sz="1000" b="1" i="0" u="none" baseline="0">
              <a:solidFill>
                <a:srgbClr val="000000"/>
              </a:solidFill>
              <a:latin typeface="Arial"/>
              <a:ea typeface="Arial"/>
              <a:cs typeface="Arial"/>
            </a:rPr>
            <a:t> - f</a:t>
          </a:r>
          <a:r>
            <a:rPr lang="en-US" cap="none" sz="1000" b="1" i="0" u="none" baseline="-25000">
              <a:solidFill>
                <a:srgbClr val="000000"/>
              </a:solidFill>
              <a:latin typeface="Arial"/>
              <a:ea typeface="Arial"/>
              <a:cs typeface="Arial"/>
            </a:rPr>
            <a:t>i</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u</a:t>
          </a:r>
          <a:r>
            <a:rPr lang="en-US" cap="none" sz="1000" b="1" i="0" u="none" baseline="30000">
              <a:solidFill>
                <a:srgbClr val="000000"/>
              </a:solidFill>
              <a:latin typeface="Arial"/>
              <a:ea typeface="Arial"/>
              <a:cs typeface="Arial"/>
            </a:rPr>
            <a:t>fs </a:t>
          </a:r>
          <a:r>
            <a:rPr lang="en-US" cap="none" sz="1000" b="1" i="0" u="none" baseline="0">
              <a:solidFill>
                <a:srgbClr val="000000"/>
              </a:solidFill>
              <a:latin typeface="Arial"/>
              <a:ea typeface="Arial"/>
              <a:cs typeface="Arial"/>
            </a:rPr>
            <a:t>(1/f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O</a:t>
          </a:r>
          <a:r>
            <a:rPr lang="en-US" cap="none" sz="1000" b="1" i="0" u="none" baseline="0">
              <a:solidFill>
                <a:srgbClr val="000000"/>
              </a:solidFill>
              <a:latin typeface="Arial"/>
              <a:ea typeface="Arial"/>
              <a:cs typeface="Arial"/>
            </a:rPr>
            <a:t> - 1/f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F</a:t>
          </a:r>
          <a:r>
            <a:rPr lang="en-US" cap="none" sz="1000" b="1" i="0" u="none" baseline="0">
              <a:solidFill>
                <a:srgbClr val="000000"/>
              </a:solidFill>
              <a:latin typeface="Arial"/>
              <a:ea typeface="Arial"/>
              <a:cs typeface="Arial"/>
            </a:rPr>
            <a:t>) / (1/f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MD </a:t>
          </a:r>
          <a:r>
            <a:rPr lang="en-US" cap="none" sz="1000" b="1" i="0" u="none" baseline="0">
              <a:solidFill>
                <a:srgbClr val="000000"/>
              </a:solidFill>
              <a:latin typeface="Arial"/>
              <a:ea typeface="Arial"/>
              <a:cs typeface="Arial"/>
            </a:rPr>
            <a:t>-1/f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U</a:t>
          </a:r>
          <a:r>
            <a:rPr lang="en-US" cap="none" sz="1000" b="1" i="0" u="none" baseline="0">
              <a:solidFill>
                <a:srgbClr val="000000"/>
              </a:solidFill>
              <a:latin typeface="Arial"/>
              <a:ea typeface="Arial"/>
              <a:cs typeface="Arial"/>
            </a:rPr>
            <a:t>) } / (u</a:t>
          </a:r>
          <a:r>
            <a:rPr lang="en-US" cap="none" sz="1000" b="1" i="0" u="none" baseline="30000">
              <a:solidFill>
                <a:srgbClr val="000000"/>
              </a:solidFill>
              <a:latin typeface="Arial"/>
              <a:ea typeface="Arial"/>
              <a:cs typeface="Arial"/>
            </a:rPr>
            <a:t>sd</a:t>
          </a:r>
          <a:r>
            <a:rPr lang="en-US" cap="none" sz="1000" b="1" i="0" u="none" baseline="0">
              <a:solidFill>
                <a:srgbClr val="000000"/>
              </a:solidFill>
              <a:latin typeface="Arial"/>
              <a:ea typeface="Arial"/>
              <a:cs typeface="Arial"/>
            </a:rPr>
            <a:t> + u</a:t>
          </a:r>
          <a:r>
            <a:rPr lang="en-US" cap="none" sz="1000" b="1" i="0" u="none" baseline="30000">
              <a:solidFill>
                <a:srgbClr val="000000"/>
              </a:solidFill>
              <a:latin typeface="Arial"/>
              <a:ea typeface="Arial"/>
              <a:cs typeface="Arial"/>
            </a:rPr>
            <a:t>fs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all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F</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MD</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U</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f</a:t>
          </a:r>
          <a:r>
            <a:rPr lang="en-US" cap="none" sz="1000" b="1" i="0" u="none" baseline="-25000">
              <a:solidFill>
                <a:srgbClr val="000000"/>
              </a:solidFill>
              <a:latin typeface="Arial"/>
              <a:ea typeface="Arial"/>
              <a:cs typeface="Arial"/>
            </a:rPr>
            <a:t>s</a:t>
          </a:r>
          <a:r>
            <a:rPr lang="en-US" cap="none" sz="1000" b="1"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 are the weight fractions of total solids in the fresh feed, mill discharge, underflow and overflow streams, respectively, and also </a:t>
          </a:r>
          <a:r>
            <a:rPr lang="en-US" cap="none" sz="1000" b="1" i="0" u="none" baseline="0">
              <a:solidFill>
                <a:srgbClr val="000000"/>
              </a:solidFill>
              <a:latin typeface="Arial"/>
              <a:ea typeface="Arial"/>
              <a:cs typeface="Arial"/>
            </a:rPr>
            <a:t>u</a:t>
          </a:r>
          <a:r>
            <a:rPr lang="en-US" cap="none" sz="1000" b="1" i="0" u="none" baseline="30000">
              <a:solidFill>
                <a:srgbClr val="000000"/>
              </a:solidFill>
              <a:latin typeface="Arial"/>
              <a:ea typeface="Arial"/>
              <a:cs typeface="Arial"/>
            </a:rPr>
            <a:t>sd</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u</a:t>
          </a:r>
          <a:r>
            <a:rPr lang="en-US" cap="none" sz="1000" b="1" i="0" u="none" baseline="30000">
              <a:solidFill>
                <a:srgbClr val="000000"/>
              </a:solidFill>
              <a:latin typeface="Arial"/>
              <a:ea typeface="Arial"/>
              <a:cs typeface="Arial"/>
            </a:rPr>
            <a:t>fs</a:t>
          </a:r>
          <a:r>
            <a:rPr lang="en-US" cap="none" sz="1000" b="0" i="0" u="none" baseline="0">
              <a:solidFill>
                <a:srgbClr val="000000"/>
              </a:solidFill>
              <a:latin typeface="Arial"/>
              <a:ea typeface="Arial"/>
              <a:cs typeface="Arial"/>
            </a:rPr>
            <a:t> are user defined </a:t>
          </a:r>
          <a:r>
            <a:rPr lang="en-US" cap="none" sz="1000" b="0" i="0" u="sng" baseline="0">
              <a:solidFill>
                <a:srgbClr val="000000"/>
              </a:solidFill>
              <a:latin typeface="Arial"/>
              <a:ea typeface="Arial"/>
              <a:cs typeface="Arial"/>
            </a:rPr>
            <a:t>weighting factors</a:t>
          </a:r>
          <a:r>
            <a:rPr lang="en-US" cap="none" sz="1000" b="0" i="0" u="none" baseline="0">
              <a:solidFill>
                <a:srgbClr val="000000"/>
              </a:solidFill>
              <a:latin typeface="Arial"/>
              <a:ea typeface="Arial"/>
              <a:cs typeface="Arial"/>
            </a:rPr>
            <a:t> included to represent the relative quality and reliability of the size distribution measurements vs. the percent solids measurements in all 4 streams. In general, a high relative value of a weighting factor is indicative of a more reliable measurement with respect to the other measurements participating in the same equations.
</a:t>
          </a:r>
        </a:p>
      </xdr:txBody>
    </xdr:sp>
    <xdr:clientData/>
  </xdr:twoCellAnchor>
  <xdr:twoCellAnchor>
    <xdr:from>
      <xdr:col>1</xdr:col>
      <xdr:colOff>19050</xdr:colOff>
      <xdr:row>58</xdr:row>
      <xdr:rowOff>0</xdr:rowOff>
    </xdr:from>
    <xdr:to>
      <xdr:col>12</xdr:col>
      <xdr:colOff>19050</xdr:colOff>
      <xdr:row>108</xdr:row>
      <xdr:rowOff>142875</xdr:rowOff>
    </xdr:to>
    <xdr:sp>
      <xdr:nvSpPr>
        <xdr:cNvPr id="2" name="Text Box 3"/>
        <xdr:cNvSpPr txBox="1">
          <a:spLocks noChangeArrowheads="1"/>
        </xdr:cNvSpPr>
      </xdr:nvSpPr>
      <xdr:spPr>
        <a:xfrm>
          <a:off x="133350" y="93916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 A statistically sound weighting factor may be calculated as 100/(% error)</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where (% error) corresponds to the combined sampling and measuring error percentage. Weighting factors must never be set equal to zero.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least-square minimization problem stated above may be linearized and solved through the </a:t>
          </a:r>
          <a:r>
            <a:rPr lang="en-US" cap="none" sz="1000" b="1" i="0" u="none" baseline="0">
              <a:solidFill>
                <a:srgbClr val="000000"/>
              </a:solidFill>
              <a:latin typeface="Arial"/>
              <a:ea typeface="Arial"/>
              <a:cs typeface="Arial"/>
            </a:rPr>
            <a:t>Lagrange Multipliers Method</a:t>
          </a:r>
          <a:r>
            <a:rPr lang="en-US" cap="none" sz="1000" b="0" i="0" u="none" baseline="0">
              <a:solidFill>
                <a:srgbClr val="000000"/>
              </a:solidFill>
              <a:latin typeface="Arial"/>
              <a:ea typeface="Arial"/>
              <a:cs typeface="Arial"/>
            </a:rPr>
            <a:t> (see </a:t>
          </a:r>
          <a:r>
            <a:rPr lang="en-US" cap="none" sz="1000" b="1" i="0" u="none" baseline="0">
              <a:solidFill>
                <a:srgbClr val="000000"/>
              </a:solidFill>
              <a:latin typeface="Arial"/>
              <a:ea typeface="Arial"/>
              <a:cs typeface="Arial"/>
            </a:rPr>
            <a:t>About ... in Cyclobal_Single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refinement of the </a:t>
          </a:r>
          <a:r>
            <a:rPr lang="en-US" cap="none" sz="1000" b="0" i="0" u="sng" baseline="0">
              <a:solidFill>
                <a:srgbClr val="000000"/>
              </a:solidFill>
              <a:latin typeface="Arial"/>
              <a:ea typeface="Arial"/>
              <a:cs typeface="Arial"/>
            </a:rPr>
            <a:t>adjusted</a:t>
          </a:r>
          <a:r>
            <a:rPr lang="en-US" cap="none" sz="1000" b="0" i="0" u="none" baseline="0">
              <a:solidFill>
                <a:srgbClr val="000000"/>
              </a:solidFill>
              <a:latin typeface="Arial"/>
              <a:ea typeface="Arial"/>
              <a:cs typeface="Arial"/>
            </a:rPr>
            <a:t> values so computed is achieved by imposing the condition that these values must conform to the </a:t>
          </a:r>
          <a:r>
            <a:rPr lang="en-US" cap="none" sz="1000" b="1" i="0" u="none" baseline="0">
              <a:solidFill>
                <a:srgbClr val="000000"/>
              </a:solidFill>
              <a:latin typeface="Arial"/>
              <a:ea typeface="Arial"/>
              <a:cs typeface="Arial"/>
            </a:rPr>
            <a:t>Plitt's Classification Efficiency</a:t>
          </a:r>
          <a:r>
            <a:rPr lang="en-US" cap="none" sz="1000" b="0" i="0" u="none" baseline="0">
              <a:solidFill>
                <a:srgbClr val="000000"/>
              </a:solidFill>
              <a:latin typeface="Arial"/>
              <a:ea typeface="Arial"/>
              <a:cs typeface="Arial"/>
            </a:rPr>
            <a:t> curve : (see </a:t>
          </a:r>
          <a:r>
            <a:rPr lang="en-US" cap="none" sz="1000" b="1" i="0" u="none" baseline="0">
              <a:solidFill>
                <a:srgbClr val="000000"/>
              </a:solidFill>
              <a:latin typeface="Arial"/>
              <a:ea typeface="Arial"/>
              <a:cs typeface="Arial"/>
            </a:rPr>
            <a:t>About ... in Cyclosim_Single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 = B</a:t>
          </a:r>
          <a:r>
            <a:rPr lang="en-US" cap="none" sz="1000" b="1" i="0" u="none" baseline="-25000">
              <a:solidFill>
                <a:srgbClr val="000000"/>
              </a:solidFill>
              <a:latin typeface="Arial"/>
              <a:ea typeface="Arial"/>
              <a:cs typeface="Arial"/>
            </a:rPr>
            <a:t>pf</a:t>
          </a:r>
          <a:r>
            <a:rPr lang="en-US" cap="none" sz="1000" b="1" i="0" u="none" baseline="0">
              <a:solidFill>
                <a:srgbClr val="000000"/>
              </a:solidFill>
              <a:latin typeface="Arial"/>
              <a:ea typeface="Arial"/>
              <a:cs typeface="Arial"/>
            </a:rPr>
            <a:t>  +  (1 - B</a:t>
          </a:r>
          <a:r>
            <a:rPr lang="en-US" cap="none" sz="1000" b="1" i="0" u="none" baseline="-25000">
              <a:solidFill>
                <a:srgbClr val="000000"/>
              </a:solidFill>
              <a:latin typeface="Arial"/>
              <a:ea typeface="Arial"/>
              <a:cs typeface="Arial"/>
            </a:rPr>
            <a:t>pf</a:t>
          </a:r>
          <a:r>
            <a:rPr lang="en-US" cap="none" sz="1000" b="1" i="0" u="none" baseline="0">
              <a:solidFill>
                <a:srgbClr val="000000"/>
              </a:solidFill>
              <a:latin typeface="Arial"/>
              <a:ea typeface="Arial"/>
              <a:cs typeface="Arial"/>
            </a:rPr>
            <a:t> ) (1 - exp [ - 0.693 (d</a:t>
          </a:r>
          <a:r>
            <a:rPr lang="en-US" cap="none" sz="1000" b="1" i="0" u="none" baseline="-25000">
              <a:solidFill>
                <a:srgbClr val="000000"/>
              </a:solidFill>
              <a:latin typeface="Arial"/>
              <a:ea typeface="Arial"/>
              <a:cs typeface="Arial"/>
            </a:rPr>
            <a:t>i</a:t>
          </a:r>
          <a:r>
            <a:rPr lang="en-US" cap="none" sz="1000" b="1" i="0" u="none" baseline="0">
              <a:solidFill>
                <a:srgbClr val="000000"/>
              </a:solidFill>
              <a:latin typeface="Arial"/>
              <a:ea typeface="Arial"/>
              <a:cs typeface="Arial"/>
            </a:rPr>
            <a:t>/d</a:t>
          </a:r>
          <a:r>
            <a:rPr lang="en-US" cap="none" sz="1000" b="1" i="0" u="none" baseline="-25000">
              <a:solidFill>
                <a:srgbClr val="000000"/>
              </a:solidFill>
              <a:latin typeface="Arial"/>
              <a:ea typeface="Arial"/>
              <a:cs typeface="Arial"/>
            </a:rPr>
            <a:t>50</a:t>
          </a:r>
          <a:r>
            <a:rPr lang="en-US" cap="none" sz="1000" b="1" i="0" u="none" baseline="30000">
              <a:solidFill>
                <a:srgbClr val="000000"/>
              </a:solidFill>
              <a:latin typeface="Arial"/>
              <a:ea typeface="Arial"/>
              <a:cs typeface="Arial"/>
            </a:rPr>
            <a:t>c</a:t>
          </a:r>
          <a:r>
            <a:rPr lang="en-US" cap="none" sz="1000" b="1" i="0" u="none" baseline="0">
              <a:solidFill>
                <a:srgbClr val="000000"/>
              </a:solidFill>
              <a:latin typeface="Arial"/>
              <a:ea typeface="Arial"/>
              <a:cs typeface="Arial"/>
            </a:rPr>
            <a:t>)</a:t>
          </a:r>
          <a:r>
            <a:rPr lang="en-US" cap="none" sz="1000" b="1" i="0" u="none" baseline="30000">
              <a:solidFill>
                <a:srgbClr val="000000"/>
              </a:solidFill>
              <a:latin typeface="Arial"/>
              <a:ea typeface="Arial"/>
              <a:cs typeface="Arial"/>
            </a:rPr>
            <a:t>m</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aid of the </a:t>
          </a:r>
          <a:r>
            <a:rPr lang="en-US" cap="none" sz="1000" b="1" i="0" u="none" baseline="0">
              <a:solidFill>
                <a:srgbClr val="000000"/>
              </a:solidFill>
              <a:latin typeface="Arial"/>
              <a:ea typeface="Arial"/>
              <a:cs typeface="Arial"/>
            </a:rPr>
            <a:t>Excel Subroutine Solver</a:t>
          </a:r>
          <a:r>
            <a:rPr lang="en-US" cap="none" sz="1000" b="0" i="0" u="none" baseline="0">
              <a:solidFill>
                <a:srgbClr val="000000"/>
              </a:solidFill>
              <a:latin typeface="Arial"/>
              <a:ea typeface="Arial"/>
              <a:cs typeface="Arial"/>
            </a:rPr>
            <a:t> to minimize a least-square objective function with respect to parameters B</a:t>
          </a:r>
          <a:r>
            <a:rPr lang="en-US" cap="none" sz="1000" b="0" i="0" u="none" baseline="-25000">
              <a:solidFill>
                <a:srgbClr val="000000"/>
              </a:solidFill>
              <a:latin typeface="Arial"/>
              <a:ea typeface="Arial"/>
              <a:cs typeface="Arial"/>
            </a:rPr>
            <a:t>pf</a:t>
          </a:r>
          <a:r>
            <a:rPr lang="en-US" cap="none" sz="1000" b="0" i="0" u="none" baseline="0">
              <a:solidFill>
                <a:srgbClr val="000000"/>
              </a:solidFill>
              <a:latin typeface="Arial"/>
              <a:ea typeface="Arial"/>
              <a:cs typeface="Arial"/>
            </a:rPr>
            <a:t>, d</a:t>
          </a:r>
          <a:r>
            <a:rPr lang="en-US" cap="none" sz="1000" b="0" i="0" u="none" baseline="-25000">
              <a:solidFill>
                <a:srgbClr val="000000"/>
              </a:solidFill>
              <a:latin typeface="Arial"/>
              <a:ea typeface="Arial"/>
              <a:cs typeface="Arial"/>
            </a:rPr>
            <a:t>50</a:t>
          </a:r>
          <a:r>
            <a:rPr lang="en-US" cap="none" sz="1000" b="0" i="0" u="none" baseline="30000">
              <a:solidFill>
                <a:srgbClr val="000000"/>
              </a:solidFill>
              <a:latin typeface="Arial"/>
              <a:ea typeface="Arial"/>
              <a:cs typeface="Arial"/>
            </a:rPr>
            <a:t>c</a:t>
          </a:r>
          <a:r>
            <a:rPr lang="en-US" cap="none" sz="1000" b="0" i="0" u="none" baseline="0">
              <a:solidFill>
                <a:srgbClr val="000000"/>
              </a:solidFill>
              <a:latin typeface="Arial"/>
              <a:ea typeface="Arial"/>
              <a:cs typeface="Arial"/>
            </a:rPr>
            <a:t> and 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Finally, the size distribution of the cyclone feed stream may be calculated on the basis of the adjusted values so obtained for the fresh feed and mill discharge streams.
</a:t>
          </a:r>
          <a:r>
            <a:rPr lang="en-US" cap="none" sz="1000" b="0"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Data Input and Program Execution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of the data required by the model must be defined in each corresponding unprotected </a:t>
          </a:r>
          <a:r>
            <a:rPr lang="en-US" cap="none" sz="1000" b="1" i="0" u="none" baseline="0">
              <a:solidFill>
                <a:srgbClr val="000000"/>
              </a:solidFill>
              <a:latin typeface="Arial"/>
              <a:ea typeface="Arial"/>
              <a:cs typeface="Arial"/>
            </a:rPr>
            <a:t>white background cell</a:t>
          </a:r>
          <a:r>
            <a:rPr lang="en-US" cap="none" sz="1000" b="0" i="0" u="none" baseline="0">
              <a:solidFill>
                <a:srgbClr val="000000"/>
              </a:solidFill>
              <a:latin typeface="Arial"/>
              <a:ea typeface="Arial"/>
              <a:cs typeface="Arial"/>
            </a:rPr>
            <a:t> - inside the red double-lined border - of the here attached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worksheet. </a:t>
          </a:r>
          <a:r>
            <a:rPr lang="en-US" cap="none" sz="1000" b="1" i="0" u="none" baseline="0">
              <a:solidFill>
                <a:srgbClr val="000000"/>
              </a:solidFill>
              <a:latin typeface="Arial"/>
              <a:ea typeface="Arial"/>
              <a:cs typeface="Arial"/>
            </a:rPr>
            <a:t>Gray background cells</a:t>
          </a:r>
          <a:r>
            <a:rPr lang="en-US" cap="none" sz="1000" b="0" i="0" u="none" baseline="0">
              <a:solidFill>
                <a:srgbClr val="000000"/>
              </a:solidFill>
              <a:latin typeface="Arial"/>
              <a:ea typeface="Arial"/>
              <a:cs typeface="Arial"/>
            </a:rPr>
            <a:t> contain the results of the corresponding formula there defined and are protected to avoid any accidental editing.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remaining information required to run the program is entered in the </a:t>
          </a:r>
          <a:r>
            <a:rPr lang="en-US" cap="none" sz="1000" b="1" i="0" u="none" baseline="0">
              <a:solidFill>
                <a:srgbClr val="000000"/>
              </a:solidFill>
              <a:latin typeface="Arial"/>
              <a:ea typeface="Arial"/>
              <a:cs typeface="Arial"/>
            </a:rPr>
            <a:t>Control_Panel</a:t>
          </a:r>
          <a:r>
            <a:rPr lang="en-US" cap="none" sz="1000" b="0" i="0" u="none" baseline="0">
              <a:solidFill>
                <a:srgbClr val="000000"/>
              </a:solidFill>
              <a:latin typeface="Arial"/>
              <a:ea typeface="Arial"/>
              <a:cs typeface="Arial"/>
            </a:rPr>
            <a:t> worksheet, where the user is requested to provide initial guesses of the B</a:t>
          </a:r>
          <a:r>
            <a:rPr lang="en-US" cap="none" sz="1000" b="0" i="0" u="none" baseline="-25000">
              <a:solidFill>
                <a:srgbClr val="000000"/>
              </a:solidFill>
              <a:latin typeface="Arial"/>
              <a:ea typeface="Arial"/>
              <a:cs typeface="Arial"/>
            </a:rPr>
            <a:t>pf</a:t>
          </a:r>
          <a:r>
            <a:rPr lang="en-US" cap="none" sz="1000" b="0" i="0" u="none" baseline="0">
              <a:solidFill>
                <a:srgbClr val="000000"/>
              </a:solidFill>
              <a:latin typeface="Arial"/>
              <a:ea typeface="Arial"/>
              <a:cs typeface="Arial"/>
            </a:rPr>
            <a:t>, d</a:t>
          </a:r>
          <a:r>
            <a:rPr lang="en-US" cap="none" sz="1000" b="0" i="0" u="none" baseline="-25000">
              <a:solidFill>
                <a:srgbClr val="000000"/>
              </a:solidFill>
              <a:latin typeface="Arial"/>
              <a:ea typeface="Arial"/>
              <a:cs typeface="Arial"/>
            </a:rPr>
            <a:t>50</a:t>
          </a:r>
          <a:r>
            <a:rPr lang="en-US" cap="none" sz="1000" b="0" i="0" u="none" baseline="30000">
              <a:solidFill>
                <a:srgbClr val="000000"/>
              </a:solidFill>
              <a:latin typeface="Arial"/>
              <a:ea typeface="Arial"/>
              <a:cs typeface="Arial"/>
            </a:rPr>
            <a:t>c</a:t>
          </a:r>
          <a:r>
            <a:rPr lang="en-US" cap="none" sz="1000" b="0" i="0" u="none" baseline="0">
              <a:solidFill>
                <a:srgbClr val="000000"/>
              </a:solidFill>
              <a:latin typeface="Arial"/>
              <a:ea typeface="Arial"/>
              <a:cs typeface="Arial"/>
            </a:rPr>
            <a:t> and m parameters (see </a:t>
          </a:r>
          <a:r>
            <a:rPr lang="en-US" cap="none" sz="1000" b="1" i="0" u="none" baseline="0">
              <a:solidFill>
                <a:srgbClr val="000000"/>
              </a:solidFill>
              <a:latin typeface="Arial"/>
              <a:ea typeface="Arial"/>
              <a:cs typeface="Arial"/>
            </a:rPr>
            <a:t>About ...</a:t>
          </a:r>
          <a:r>
            <a:rPr lang="en-US" cap="none" sz="1000" b="0" i="0" u="none" baseline="0">
              <a:solidFill>
                <a:srgbClr val="000000"/>
              </a:solidFill>
              <a:latin typeface="Arial"/>
              <a:ea typeface="Arial"/>
              <a:cs typeface="Arial"/>
            </a:rPr>
            <a:t> in </a:t>
          </a:r>
          <a:r>
            <a:rPr lang="en-US" cap="none" sz="1000" b="1" i="0" u="none" baseline="0">
              <a:solidFill>
                <a:srgbClr val="000000"/>
              </a:solidFill>
              <a:latin typeface="Arial"/>
              <a:ea typeface="Arial"/>
              <a:cs typeface="Arial"/>
            </a:rPr>
            <a:t>Cyclosim_Single</a:t>
          </a:r>
          <a:r>
            <a:rPr lang="en-US" cap="none" sz="1000" b="0" i="0" u="none" baseline="0">
              <a:solidFill>
                <a:srgbClr val="000000"/>
              </a:solidFill>
              <a:latin typeface="Arial"/>
              <a:ea typeface="Arial"/>
              <a:cs typeface="Arial"/>
            </a:rPr>
            <a:t>). The B</a:t>
          </a:r>
          <a:r>
            <a:rPr lang="en-US" cap="none" sz="1000" b="0" i="0" u="none" baseline="-25000">
              <a:solidFill>
                <a:srgbClr val="000000"/>
              </a:solidFill>
              <a:latin typeface="Arial"/>
              <a:ea typeface="Arial"/>
              <a:cs typeface="Arial"/>
            </a:rPr>
            <a:t>pc</a:t>
          </a:r>
          <a:r>
            <a:rPr lang="en-US" cap="none" sz="1000" b="0" i="0" u="none" baseline="0">
              <a:solidFill>
                <a:srgbClr val="000000"/>
              </a:solidFill>
              <a:latin typeface="Arial"/>
              <a:ea typeface="Arial"/>
              <a:cs typeface="Arial"/>
            </a:rPr>
            <a:t> parameter is rarely used and was incorporated to take into account the possible short-circuit of coarse particles to the overflow (as could be the case in highly pressurized cyclones). Finally, the user must specify the relative weighting factors for the various feed, underflow and overflow streams plus the relative weighting factors for the size distribution and percent solids measurements.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run the program, select the objective function </a:t>
          </a:r>
          <a:r>
            <a:rPr lang="en-US" cap="none" sz="1000" b="1" i="0" u="none" baseline="0">
              <a:solidFill>
                <a:srgbClr val="FF0000"/>
              </a:solidFill>
              <a:latin typeface="Arial"/>
              <a:ea typeface="Arial"/>
              <a:cs typeface="Arial"/>
            </a:rPr>
            <a:t>Cell E22</a:t>
          </a:r>
          <a:r>
            <a:rPr lang="en-US" cap="none" sz="1000" b="0" i="0" u="none" baseline="0">
              <a:solidFill>
                <a:srgbClr val="000000"/>
              </a:solidFill>
              <a:latin typeface="Arial"/>
              <a:ea typeface="Arial"/>
              <a:cs typeface="Arial"/>
            </a:rPr>
            <a:t> in </a:t>
          </a:r>
          <a:r>
            <a:rPr lang="en-US" cap="none" sz="1000" b="1" i="0" u="none" baseline="0">
              <a:solidFill>
                <a:srgbClr val="000000"/>
              </a:solidFill>
              <a:latin typeface="Arial"/>
              <a:ea typeface="Arial"/>
              <a:cs typeface="Arial"/>
            </a:rPr>
            <a:t>Control_Panel</a:t>
          </a:r>
          <a:r>
            <a:rPr lang="en-US" cap="none" sz="1000" b="0" i="0" u="none" baseline="0">
              <a:solidFill>
                <a:srgbClr val="000000"/>
              </a:solidFill>
              <a:latin typeface="Arial"/>
              <a:ea typeface="Arial"/>
              <a:cs typeface="Arial"/>
            </a:rPr>
            <a:t> and then, from the </a:t>
          </a:r>
          <a:r>
            <a:rPr lang="en-US" cap="none" sz="1000" b="1" i="0" u="none" baseline="0">
              <a:solidFill>
                <a:srgbClr val="000000"/>
              </a:solidFill>
              <a:latin typeface="Arial"/>
              <a:ea typeface="Arial"/>
              <a:cs typeface="Arial"/>
            </a:rPr>
            <a:t>Tools Menu</a:t>
          </a:r>
          <a:r>
            <a:rPr lang="en-US" cap="none" sz="1000" b="0" i="0" u="none" baseline="0">
              <a:solidFill>
                <a:srgbClr val="000000"/>
              </a:solidFill>
              <a:latin typeface="Arial"/>
              <a:ea typeface="Arial"/>
              <a:cs typeface="Arial"/>
            </a:rPr>
            <a:t>, select </a:t>
          </a:r>
          <a:r>
            <a:rPr lang="en-US" cap="none" sz="1000" b="1" i="0" u="none" baseline="0">
              <a:solidFill>
                <a:srgbClr val="000000"/>
              </a:solidFill>
              <a:latin typeface="Arial"/>
              <a:ea typeface="Arial"/>
              <a:cs typeface="Arial"/>
            </a:rPr>
            <a:t>Solver ...</a:t>
          </a:r>
          <a:r>
            <a:rPr lang="en-US" cap="none" sz="1000" b="0" i="0" u="none" baseline="0">
              <a:solidFill>
                <a:srgbClr val="000000"/>
              </a:solidFill>
              <a:latin typeface="Arial"/>
              <a:ea typeface="Arial"/>
              <a:cs typeface="Arial"/>
            </a:rPr>
            <a:t>, then </a:t>
          </a:r>
          <a:r>
            <a:rPr lang="en-US" cap="none" sz="1000" b="1" i="0" u="none" baseline="0">
              <a:solidFill>
                <a:srgbClr val="000000"/>
              </a:solidFill>
              <a:latin typeface="Arial"/>
              <a:ea typeface="Arial"/>
              <a:cs typeface="Arial"/>
            </a:rPr>
            <a:t>Min</a:t>
          </a:r>
          <a:r>
            <a:rPr lang="en-US" cap="none" sz="1000" b="0" i="0" u="none" baseline="0">
              <a:solidFill>
                <a:srgbClr val="000000"/>
              </a:solidFill>
              <a:latin typeface="Arial"/>
              <a:ea typeface="Arial"/>
              <a:cs typeface="Arial"/>
            </a:rPr>
            <a:t> and then </a:t>
          </a:r>
          <a:r>
            <a:rPr lang="en-US" cap="none" sz="1000" b="1" i="0" u="none" baseline="0">
              <a:solidFill>
                <a:srgbClr val="000000"/>
              </a:solidFill>
              <a:latin typeface="Arial"/>
              <a:ea typeface="Arial"/>
              <a:cs typeface="Arial"/>
            </a:rPr>
            <a:t>By Changing </a:t>
          </a:r>
          <a:r>
            <a:rPr lang="en-US" cap="none" sz="1000" b="0" i="0" u="none" baseline="0">
              <a:solidFill>
                <a:srgbClr val="000000"/>
              </a:solidFill>
              <a:latin typeface="Arial"/>
              <a:ea typeface="Arial"/>
              <a:cs typeface="Arial"/>
            </a:rPr>
            <a:t>any combination of </a:t>
          </a:r>
          <a:r>
            <a:rPr lang="en-US" cap="none" sz="1000" b="1" i="0" u="none" baseline="0">
              <a:solidFill>
                <a:srgbClr val="FF0000"/>
              </a:solidFill>
              <a:latin typeface="Arial"/>
              <a:ea typeface="Arial"/>
              <a:cs typeface="Arial"/>
            </a:rPr>
            <a:t>Cells C20:F20</a:t>
          </a:r>
          <a:r>
            <a:rPr lang="en-US" cap="none" sz="1000" b="0" i="0" u="none" baseline="0">
              <a:solidFill>
                <a:srgbClr val="000000"/>
              </a:solidFill>
              <a:latin typeface="Arial"/>
              <a:ea typeface="Arial"/>
              <a:cs typeface="Arial"/>
            </a:rPr>
            <a:t>. Clicking on the </a:t>
          </a:r>
          <a:r>
            <a:rPr lang="en-US" cap="none" sz="1000" b="1" i="0" u="none" baseline="0">
              <a:solidFill>
                <a:srgbClr val="000000"/>
              </a:solidFill>
              <a:latin typeface="Arial"/>
              <a:ea typeface="Arial"/>
              <a:cs typeface="Arial"/>
            </a:rPr>
            <a:t>Solve</a:t>
          </a:r>
          <a:r>
            <a:rPr lang="en-US" cap="none" sz="1000" b="0" i="0" u="none" baseline="0">
              <a:solidFill>
                <a:srgbClr val="000000"/>
              </a:solidFill>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 </a:t>
          </a:r>
          <a:r>
            <a:rPr lang="en-US" cap="none" sz="1000" b="0" i="0" u="none" baseline="0">
              <a:solidFill>
                <a:srgbClr val="000000"/>
              </a:solidFill>
              <a:latin typeface="Arial"/>
              <a:ea typeface="Arial"/>
              <a:cs typeface="Arial"/>
            </a:rPr>
            <a:t>Otherwise, the current outputs are not valid.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Calculation results are summarized in the </a:t>
          </a:r>
          <a:r>
            <a:rPr lang="en-US" cap="none" sz="1000" b="1" i="0" u="none" baseline="0">
              <a:solidFill>
                <a:srgbClr val="000000"/>
              </a:solidFill>
              <a:latin typeface="Arial"/>
              <a:ea typeface="Arial"/>
              <a:cs typeface="Arial"/>
            </a:rPr>
            <a:t>Reports</a:t>
          </a:r>
          <a:r>
            <a:rPr lang="en-US" cap="none" sz="1000" b="0" i="0" u="none" baseline="0">
              <a:solidFill>
                <a:srgbClr val="000000"/>
              </a:solidFill>
              <a:latin typeface="Arial"/>
              <a:ea typeface="Arial"/>
              <a:cs typeface="Arial"/>
            </a:rPr>
            <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interesting feature of this routine is that the user has the option to save for later reference every analyzed data set by copying the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worksheet into as many as required </a:t>
          </a:r>
          <a:r>
            <a:rPr lang="en-US" cap="none" sz="1000" b="1" i="0" u="none" baseline="0">
              <a:solidFill>
                <a:srgbClr val="000000"/>
              </a:solidFill>
              <a:latin typeface="Arial"/>
              <a:ea typeface="Arial"/>
              <a:cs typeface="Arial"/>
            </a:rPr>
            <a:t>Sample 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Sample 2</a:t>
          </a:r>
          <a:r>
            <a:rPr lang="en-US" cap="none" sz="1000" b="0" i="0" u="none" baseline="0">
              <a:solidFill>
                <a:srgbClr val="000000"/>
              </a:solidFill>
              <a:latin typeface="Arial"/>
              <a:ea typeface="Arial"/>
              <a:cs typeface="Arial"/>
            </a:rPr>
            <a:t>, etc. worksheets. For reprocessing these data, simply copy the information back to the </a:t>
          </a:r>
          <a:r>
            <a:rPr lang="en-US" cap="none" sz="1000" b="1" i="0" u="none" baseline="0">
              <a:solidFill>
                <a:srgbClr val="000000"/>
              </a:solidFill>
              <a:latin typeface="Arial"/>
              <a:ea typeface="Arial"/>
              <a:cs typeface="Arial"/>
            </a:rPr>
            <a:t>Data_File</a:t>
          </a:r>
          <a:r>
            <a:rPr lang="en-US" cap="none" sz="1000" b="0" i="0" u="none" baseline="0">
              <a:solidFill>
                <a:srgbClr val="000000"/>
              </a:solidFill>
              <a:latin typeface="Arial"/>
              <a:ea typeface="Arial"/>
              <a:cs typeface="Arial"/>
            </a:rPr>
            <a:t> and re-run the </a:t>
          </a:r>
          <a:r>
            <a:rPr lang="en-US" cap="none" sz="1000" b="1" i="0" u="none" baseline="0">
              <a:solidFill>
                <a:srgbClr val="000000"/>
              </a:solidFill>
              <a:latin typeface="Arial"/>
              <a:ea typeface="Arial"/>
              <a:cs typeface="Arial"/>
            </a:rPr>
            <a:t>Solver</a:t>
          </a:r>
          <a:r>
            <a:rPr lang="en-US" cap="none" sz="1000" b="0" i="0" u="none" baseline="0">
              <a:solidFill>
                <a:srgbClr val="000000"/>
              </a:solidFill>
              <a:latin typeface="Arial"/>
              <a:ea typeface="Arial"/>
              <a:cs typeface="Arial"/>
            </a:rPr>
            <a:t> routine.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New </a:t>
          </a:r>
          <a:r>
            <a:rPr lang="en-US" cap="none" sz="1000" b="1" i="0" u="none" baseline="0">
              <a:solidFill>
                <a:srgbClr val="000000"/>
              </a:solidFill>
              <a:latin typeface="Arial"/>
              <a:ea typeface="Arial"/>
              <a:cs typeface="Arial"/>
            </a:rPr>
            <a:t>Moly-Cop Tools</a:t>
          </a:r>
          <a:r>
            <a:rPr lang="en-US" cap="none" sz="1000" b="0" i="0" u="none" baseline="0">
              <a:solidFill>
                <a:srgbClr val="000000"/>
              </a:solidFill>
              <a:latin typeface="Arial"/>
              <a:ea typeface="Arial"/>
              <a:cs typeface="Arial"/>
            </a:rPr>
            <a:t> users are invited to explore the brief comments inserted in each relevant cell, rendering the whole utilization of the worksheets self-explanatory. Eventually, the user may wish to remove the view of the comments by selecting </a:t>
          </a:r>
          <a:r>
            <a:rPr lang="en-US" cap="none" sz="1000" b="1" i="0" u="none" baseline="0">
              <a:solidFill>
                <a:srgbClr val="000000"/>
              </a:solidFill>
              <a:latin typeface="Arial"/>
              <a:ea typeface="Arial"/>
              <a:cs typeface="Arial"/>
            </a:rPr>
            <a:t>Tools / Options / View / Comments / None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twoCellAnchor editAs="oneCell">
    <xdr:from>
      <xdr:col>9</xdr:col>
      <xdr:colOff>485775</xdr:colOff>
      <xdr:row>0</xdr:row>
      <xdr:rowOff>28575</xdr:rowOff>
    </xdr:from>
    <xdr:to>
      <xdr:col>12</xdr:col>
      <xdr:colOff>0</xdr:colOff>
      <xdr:row>2</xdr:row>
      <xdr:rowOff>104775</xdr:rowOff>
    </xdr:to>
    <xdr:pic>
      <xdr:nvPicPr>
        <xdr:cNvPr id="3" name="Picture 5" descr="Logo-SCAW"/>
        <xdr:cNvPicPr preferRelativeResize="1">
          <a:picLocks noChangeAspect="1"/>
        </xdr:cNvPicPr>
      </xdr:nvPicPr>
      <xdr:blipFill>
        <a:blip r:embed="rId1"/>
        <a:stretch>
          <a:fillRect/>
        </a:stretch>
      </xdr:blipFill>
      <xdr:spPr>
        <a:xfrm>
          <a:off x="5476875" y="28575"/>
          <a:ext cx="1343025" cy="400050"/>
        </a:xfrm>
        <a:prstGeom prst="rect">
          <a:avLst/>
        </a:prstGeom>
        <a:noFill/>
        <a:ln w="9525" cmpd="sng">
          <a:noFill/>
        </a:ln>
      </xdr:spPr>
    </xdr:pic>
    <xdr:clientData/>
  </xdr:twoCellAnchor>
  <xdr:twoCellAnchor editAs="oneCell">
    <xdr:from>
      <xdr:col>9</xdr:col>
      <xdr:colOff>485775</xdr:colOff>
      <xdr:row>55</xdr:row>
      <xdr:rowOff>28575</xdr:rowOff>
    </xdr:from>
    <xdr:to>
      <xdr:col>12</xdr:col>
      <xdr:colOff>0</xdr:colOff>
      <xdr:row>57</xdr:row>
      <xdr:rowOff>104775</xdr:rowOff>
    </xdr:to>
    <xdr:pic>
      <xdr:nvPicPr>
        <xdr:cNvPr id="4" name="Picture 6" descr="Logo-SCAW"/>
        <xdr:cNvPicPr preferRelativeResize="1">
          <a:picLocks noChangeAspect="1"/>
        </xdr:cNvPicPr>
      </xdr:nvPicPr>
      <xdr:blipFill>
        <a:blip r:embed="rId1"/>
        <a:stretch>
          <a:fillRect/>
        </a:stretch>
      </xdr:blipFill>
      <xdr:spPr>
        <a:xfrm>
          <a:off x="5476875" y="8934450"/>
          <a:ext cx="1343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9</xdr:col>
      <xdr:colOff>0</xdr:colOff>
      <xdr:row>0</xdr:row>
      <xdr:rowOff>0</xdr:rowOff>
    </xdr:to>
    <xdr:sp>
      <xdr:nvSpPr>
        <xdr:cNvPr id="1" name="Rectangle 2"/>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9</xdr:col>
      <xdr:colOff>0</xdr:colOff>
      <xdr:row>0</xdr:row>
      <xdr:rowOff>0</xdr:rowOff>
    </xdr:to>
    <xdr:sp>
      <xdr:nvSpPr>
        <xdr:cNvPr id="2" name="Rectangle 3"/>
        <xdr:cNvSpPr>
          <a:spLocks/>
        </xdr:cNvSpPr>
      </xdr:nvSpPr>
      <xdr:spPr>
        <a:xfrm>
          <a:off x="3133725" y="0"/>
          <a:ext cx="12954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4</xdr:row>
      <xdr:rowOff>28575</xdr:rowOff>
    </xdr:from>
    <xdr:to>
      <xdr:col>15</xdr:col>
      <xdr:colOff>381000</xdr:colOff>
      <xdr:row>27</xdr:row>
      <xdr:rowOff>66675</xdr:rowOff>
    </xdr:to>
    <xdr:graphicFrame>
      <xdr:nvGraphicFramePr>
        <xdr:cNvPr id="3" name="Chart 4"/>
        <xdr:cNvGraphicFramePr/>
      </xdr:nvGraphicFramePr>
      <xdr:xfrm>
        <a:off x="2790825" y="800100"/>
        <a:ext cx="5505450" cy="376237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76200</xdr:colOff>
      <xdr:row>1</xdr:row>
      <xdr:rowOff>66675</xdr:rowOff>
    </xdr:from>
    <xdr:to>
      <xdr:col>16</xdr:col>
      <xdr:colOff>47625</xdr:colOff>
      <xdr:row>2</xdr:row>
      <xdr:rowOff>85725</xdr:rowOff>
    </xdr:to>
    <xdr:pic>
      <xdr:nvPicPr>
        <xdr:cNvPr id="4" name="Picture 16" descr="Logo-SCAW"/>
        <xdr:cNvPicPr preferRelativeResize="1">
          <a:picLocks noChangeAspect="1"/>
        </xdr:cNvPicPr>
      </xdr:nvPicPr>
      <xdr:blipFill>
        <a:blip r:embed="rId2"/>
        <a:stretch>
          <a:fillRect/>
        </a:stretch>
      </xdr:blipFill>
      <xdr:spPr>
        <a:xfrm>
          <a:off x="7410450" y="161925"/>
          <a:ext cx="11334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314325</xdr:colOff>
      <xdr:row>1</xdr:row>
      <xdr:rowOff>95250</xdr:rowOff>
    </xdr:from>
    <xdr:to>
      <xdr:col>21</xdr:col>
      <xdr:colOff>19050</xdr:colOff>
      <xdr:row>2</xdr:row>
      <xdr:rowOff>152400</xdr:rowOff>
    </xdr:to>
    <xdr:pic>
      <xdr:nvPicPr>
        <xdr:cNvPr id="1" name="Picture 35" descr="Logo-SCAW"/>
        <xdr:cNvPicPr preferRelativeResize="1">
          <a:picLocks noChangeAspect="1"/>
        </xdr:cNvPicPr>
      </xdr:nvPicPr>
      <xdr:blipFill>
        <a:blip r:embed="rId1"/>
        <a:stretch>
          <a:fillRect/>
        </a:stretch>
      </xdr:blipFill>
      <xdr:spPr>
        <a:xfrm>
          <a:off x="12687300" y="190500"/>
          <a:ext cx="11334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9</xdr:row>
      <xdr:rowOff>142875</xdr:rowOff>
    </xdr:from>
    <xdr:to>
      <xdr:col>11</xdr:col>
      <xdr:colOff>66675</xdr:colOff>
      <xdr:row>15</xdr:row>
      <xdr:rowOff>57150</xdr:rowOff>
    </xdr:to>
    <xdr:grpSp>
      <xdr:nvGrpSpPr>
        <xdr:cNvPr id="1" name="Group 1"/>
        <xdr:cNvGrpSpPr>
          <a:grpSpLocks/>
        </xdr:cNvGrpSpPr>
      </xdr:nvGrpSpPr>
      <xdr:grpSpPr>
        <a:xfrm>
          <a:off x="5219700" y="1619250"/>
          <a:ext cx="561975" cy="885825"/>
          <a:chOff x="225" y="178"/>
          <a:chExt cx="59" cy="93"/>
        </a:xfrm>
        <a:solidFill>
          <a:srgbClr val="FFFFFF"/>
        </a:solidFill>
      </xdr:grpSpPr>
      <xdr:sp>
        <xdr:nvSpPr>
          <xdr:cNvPr id="2" name="Rectangle 2"/>
          <xdr:cNvSpPr>
            <a:spLocks/>
          </xdr:cNvSpPr>
        </xdr:nvSpPr>
        <xdr:spPr>
          <a:xfrm>
            <a:off x="231" y="194"/>
            <a:ext cx="37" cy="1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3"/>
          <xdr:cNvGrpSpPr>
            <a:grpSpLocks/>
          </xdr:cNvGrpSpPr>
        </xdr:nvGrpSpPr>
        <xdr:grpSpPr>
          <a:xfrm>
            <a:off x="225" y="190"/>
            <a:ext cx="49" cy="3"/>
            <a:chOff x="1071" y="1288"/>
            <a:chExt cx="384" cy="26"/>
          </a:xfrm>
          <a:solidFill>
            <a:srgbClr val="FFFFFF"/>
          </a:solidFill>
        </xdr:grpSpPr>
        <xdr:sp>
          <xdr:nvSpPr>
            <xdr:cNvPr id="4" name="Rectangle 4"/>
            <xdr:cNvSpPr>
              <a:spLocks/>
            </xdr:cNvSpPr>
          </xdr:nvSpPr>
          <xdr:spPr>
            <a:xfrm>
              <a:off x="1079" y="1288"/>
              <a:ext cx="370"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1071" y="1302"/>
              <a:ext cx="38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 name="Group 6"/>
          <xdr:cNvGrpSpPr>
            <a:grpSpLocks/>
          </xdr:cNvGrpSpPr>
        </xdr:nvGrpSpPr>
        <xdr:grpSpPr>
          <a:xfrm>
            <a:off x="225" y="211"/>
            <a:ext cx="49" cy="3"/>
            <a:chOff x="1071" y="1449"/>
            <a:chExt cx="384" cy="26"/>
          </a:xfrm>
          <a:solidFill>
            <a:srgbClr val="FFFFFF"/>
          </a:solidFill>
        </xdr:grpSpPr>
        <xdr:sp>
          <xdr:nvSpPr>
            <xdr:cNvPr id="7" name="Rectangle 7"/>
            <xdr:cNvSpPr>
              <a:spLocks/>
            </xdr:cNvSpPr>
          </xdr:nvSpPr>
          <xdr:spPr>
            <a:xfrm>
              <a:off x="1079" y="1449"/>
              <a:ext cx="370" cy="26"/>
            </a:xfrm>
            <a:prstGeom prst="rect">
              <a:avLst/>
            </a:pr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1071" y="1463"/>
              <a:ext cx="38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9"/>
          <xdr:cNvGrpSpPr>
            <a:grpSpLocks/>
          </xdr:cNvGrpSpPr>
        </xdr:nvGrpSpPr>
        <xdr:grpSpPr>
          <a:xfrm>
            <a:off x="237" y="263"/>
            <a:ext cx="25" cy="3"/>
            <a:chOff x="1167" y="1840"/>
            <a:chExt cx="192" cy="26"/>
          </a:xfrm>
          <a:solidFill>
            <a:srgbClr val="FFFFFF"/>
          </a:solidFill>
        </xdr:grpSpPr>
        <xdr:sp>
          <xdr:nvSpPr>
            <xdr:cNvPr id="10" name="Rectangle 10"/>
            <xdr:cNvSpPr>
              <a:spLocks/>
            </xdr:cNvSpPr>
          </xdr:nvSpPr>
          <xdr:spPr>
            <a:xfrm>
              <a:off x="1175" y="1840"/>
              <a:ext cx="177" cy="26"/>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1167" y="1854"/>
              <a:ext cx="19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 name="AutoShape 12"/>
          <xdr:cNvSpPr>
            <a:spLocks/>
          </xdr:cNvSpPr>
        </xdr:nvSpPr>
        <xdr:spPr>
          <a:xfrm rot="10800000" flipH="1" flipV="1">
            <a:off x="231" y="215"/>
            <a:ext cx="37" cy="47"/>
          </a:xfrm>
          <a:custGeom>
            <a:pathLst>
              <a:path h="21600" w="21600">
                <a:moveTo>
                  <a:pt x="0" y="0"/>
                </a:moveTo>
                <a:lnTo>
                  <a:pt x="5399" y="21600"/>
                </a:lnTo>
                <a:lnTo>
                  <a:pt x="16201" y="21600"/>
                </a:lnTo>
                <a:lnTo>
                  <a:pt x="21600" y="0"/>
                </a:lnTo>
                <a:lnTo>
                  <a:pt x="0" y="0"/>
                </a:lnTo>
                <a:close/>
              </a:path>
            </a:pathLst>
          </a:custGeom>
          <a:gradFill rotWithShape="1">
            <a:gsLst>
              <a:gs pos="0">
                <a:srgbClr val="00279F"/>
              </a:gs>
              <a:gs pos="50000">
                <a:srgbClr val="1A3DA9"/>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283" y="193"/>
            <a:ext cx="1" cy="13"/>
          </a:xfrm>
          <a:prstGeom prst="rect">
            <a:avLst/>
          </a:prstGeom>
          <a:gradFill rotWithShape="1">
            <a:gsLst>
              <a:gs pos="0">
                <a:srgbClr val="00279F"/>
              </a:gs>
              <a:gs pos="50000">
                <a:srgbClr val="4C67BC"/>
              </a:gs>
              <a:gs pos="100000">
                <a:srgbClr val="00279F"/>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68" y="195"/>
            <a:ext cx="14" cy="9"/>
          </a:xfrm>
          <a:prstGeom prst="rect">
            <a:avLst/>
          </a:prstGeom>
          <a:gradFill rotWithShape="1">
            <a:gsLst>
              <a:gs pos="0">
                <a:srgbClr val="00279F"/>
              </a:gs>
              <a:gs pos="50000">
                <a:srgbClr val="4C67BC"/>
              </a:gs>
              <a:gs pos="100000">
                <a:srgbClr val="00279F"/>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241" y="266"/>
            <a:ext cx="17" cy="5"/>
          </a:xfrm>
          <a:prstGeom prst="rect">
            <a:avLst/>
          </a:prstGeom>
          <a:gradFill rotWithShape="1">
            <a:gsLst>
              <a:gs pos="0">
                <a:srgbClr val="00279F"/>
              </a:gs>
              <a:gs pos="50000">
                <a:srgbClr val="4C67BC"/>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239" y="180"/>
            <a:ext cx="21" cy="9"/>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37" y="178"/>
            <a:ext cx="25" cy="1"/>
          </a:xfrm>
          <a:prstGeom prst="rect">
            <a:avLst/>
          </a:prstGeom>
          <a:gradFill rotWithShape="1">
            <a:gsLst>
              <a:gs pos="0">
                <a:srgbClr val="00279F"/>
              </a:gs>
              <a:gs pos="50000">
                <a:srgbClr val="3352B2"/>
              </a:gs>
              <a:gs pos="100000">
                <a:srgbClr val="00279F"/>
              </a:gs>
            </a:gsLst>
            <a:lin ang="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371475</xdr:colOff>
      <xdr:row>18</xdr:row>
      <xdr:rowOff>152400</xdr:rowOff>
    </xdr:from>
    <xdr:to>
      <xdr:col>5</xdr:col>
      <xdr:colOff>523875</xdr:colOff>
      <xdr:row>18</xdr:row>
      <xdr:rowOff>152400</xdr:rowOff>
    </xdr:to>
    <xdr:sp>
      <xdr:nvSpPr>
        <xdr:cNvPr id="18" name="Line 18"/>
        <xdr:cNvSpPr>
          <a:spLocks/>
        </xdr:cNvSpPr>
      </xdr:nvSpPr>
      <xdr:spPr>
        <a:xfrm>
          <a:off x="600075" y="3086100"/>
          <a:ext cx="1981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352425</xdr:colOff>
      <xdr:row>15</xdr:row>
      <xdr:rowOff>95250</xdr:rowOff>
    </xdr:from>
    <xdr:to>
      <xdr:col>10</xdr:col>
      <xdr:colOff>352425</xdr:colOff>
      <xdr:row>19</xdr:row>
      <xdr:rowOff>28575</xdr:rowOff>
    </xdr:to>
    <xdr:sp>
      <xdr:nvSpPr>
        <xdr:cNvPr id="19" name="Line 19"/>
        <xdr:cNvSpPr>
          <a:spLocks/>
        </xdr:cNvSpPr>
      </xdr:nvSpPr>
      <xdr:spPr>
        <a:xfrm>
          <a:off x="5457825" y="2543175"/>
          <a:ext cx="0" cy="5810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22</xdr:row>
      <xdr:rowOff>152400</xdr:rowOff>
    </xdr:from>
    <xdr:to>
      <xdr:col>6</xdr:col>
      <xdr:colOff>466725</xdr:colOff>
      <xdr:row>26</xdr:row>
      <xdr:rowOff>66675</xdr:rowOff>
    </xdr:to>
    <xdr:grpSp>
      <xdr:nvGrpSpPr>
        <xdr:cNvPr id="20" name="Group 20"/>
        <xdr:cNvGrpSpPr>
          <a:grpSpLocks/>
        </xdr:cNvGrpSpPr>
      </xdr:nvGrpSpPr>
      <xdr:grpSpPr>
        <a:xfrm>
          <a:off x="2181225" y="3771900"/>
          <a:ext cx="952500" cy="581025"/>
          <a:chOff x="3556" y="2856"/>
          <a:chExt cx="775" cy="444"/>
        </a:xfrm>
        <a:solidFill>
          <a:srgbClr val="FFFFFF"/>
        </a:solidFill>
      </xdr:grpSpPr>
      <xdr:grpSp>
        <xdr:nvGrpSpPr>
          <xdr:cNvPr id="21" name="Group 21"/>
          <xdr:cNvGrpSpPr>
            <a:grpSpLocks/>
          </xdr:cNvGrpSpPr>
        </xdr:nvGrpSpPr>
        <xdr:grpSpPr>
          <a:xfrm>
            <a:off x="3556" y="2856"/>
            <a:ext cx="775" cy="440"/>
            <a:chOff x="3556" y="2856"/>
            <a:chExt cx="775" cy="440"/>
          </a:xfrm>
          <a:solidFill>
            <a:srgbClr val="FFFFFF"/>
          </a:solidFill>
        </xdr:grpSpPr>
        <xdr:sp>
          <xdr:nvSpPr>
            <xdr:cNvPr id="22" name="Rectangle 22"/>
            <xdr:cNvSpPr>
              <a:spLocks/>
            </xdr:cNvSpPr>
          </xdr:nvSpPr>
          <xdr:spPr>
            <a:xfrm>
              <a:off x="3575" y="2892"/>
              <a:ext cx="742" cy="388"/>
            </a:xfrm>
            <a:prstGeom prst="rect">
              <a:avLst/>
            </a:prstGeom>
            <a:solidFill>
              <a:srgbClr val="CECECE"/>
            </a:solidFill>
            <a:ln w="127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3556" y="2860"/>
              <a:ext cx="0" cy="436"/>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4331" y="2856"/>
              <a:ext cx="0" cy="428"/>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3688" y="2928"/>
              <a:ext cx="524" cy="0"/>
            </a:xfrm>
            <a:prstGeom prst="line">
              <a:avLst/>
            </a:prstGeom>
            <a:noFill/>
            <a:ln w="127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6" name="Line 26"/>
          <xdr:cNvSpPr>
            <a:spLocks/>
          </xdr:cNvSpPr>
        </xdr:nvSpPr>
        <xdr:spPr>
          <a:xfrm>
            <a:off x="3568" y="3300"/>
            <a:ext cx="760" cy="0"/>
          </a:xfrm>
          <a:prstGeom prst="line">
            <a:avLst/>
          </a:prstGeom>
          <a:noFill/>
          <a:ln w="50800" cmpd="sng">
            <a:solidFill>
              <a:srgbClr val="919191"/>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180975</xdr:colOff>
      <xdr:row>15</xdr:row>
      <xdr:rowOff>76200</xdr:rowOff>
    </xdr:from>
    <xdr:to>
      <xdr:col>9</xdr:col>
      <xdr:colOff>133350</xdr:colOff>
      <xdr:row>22</xdr:row>
      <xdr:rowOff>104775</xdr:rowOff>
    </xdr:to>
    <xdr:grpSp>
      <xdr:nvGrpSpPr>
        <xdr:cNvPr id="27" name="Group 27"/>
        <xdr:cNvGrpSpPr>
          <a:grpSpLocks/>
        </xdr:cNvGrpSpPr>
      </xdr:nvGrpSpPr>
      <xdr:grpSpPr>
        <a:xfrm flipH="1">
          <a:off x="2847975" y="2524125"/>
          <a:ext cx="1781175" cy="1200150"/>
          <a:chOff x="384" y="272"/>
          <a:chExt cx="187" cy="122"/>
        </a:xfrm>
        <a:solidFill>
          <a:srgbClr val="FFFFFF"/>
        </a:solidFill>
      </xdr:grpSpPr>
      <xdr:sp>
        <xdr:nvSpPr>
          <xdr:cNvPr id="28" name="Rectangle 28"/>
          <xdr:cNvSpPr>
            <a:spLocks/>
          </xdr:cNvSpPr>
        </xdr:nvSpPr>
        <xdr:spPr>
          <a:xfrm>
            <a:off x="411" y="286"/>
            <a:ext cx="100" cy="92"/>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9" name="Group 29"/>
          <xdr:cNvGrpSpPr>
            <a:grpSpLocks/>
          </xdr:cNvGrpSpPr>
        </xdr:nvGrpSpPr>
        <xdr:grpSpPr>
          <a:xfrm>
            <a:off x="410" y="279"/>
            <a:ext cx="9" cy="106"/>
            <a:chOff x="2520" y="1958"/>
            <a:chExt cx="71" cy="784"/>
          </a:xfrm>
          <a:solidFill>
            <a:srgbClr val="FFFFFF"/>
          </a:solidFill>
        </xdr:grpSpPr>
        <xdr:sp>
          <xdr:nvSpPr>
            <xdr:cNvPr id="30" name="Rectangle 30"/>
            <xdr:cNvSpPr>
              <a:spLocks/>
            </xdr:cNvSpPr>
          </xdr:nvSpPr>
          <xdr:spPr>
            <a:xfrm>
              <a:off x="2520" y="1966"/>
              <a:ext cx="71" cy="771"/>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flipV="1">
              <a:off x="2558" y="1958"/>
              <a:ext cx="0" cy="78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 32"/>
          <xdr:cNvGrpSpPr>
            <a:grpSpLocks/>
          </xdr:cNvGrpSpPr>
        </xdr:nvGrpSpPr>
        <xdr:grpSpPr>
          <a:xfrm>
            <a:off x="512" y="279"/>
            <a:ext cx="9" cy="105"/>
            <a:chOff x="3312" y="1962"/>
            <a:chExt cx="71" cy="777"/>
          </a:xfrm>
          <a:solidFill>
            <a:srgbClr val="FFFFFF"/>
          </a:solidFill>
        </xdr:grpSpPr>
        <xdr:sp>
          <xdr:nvSpPr>
            <xdr:cNvPr id="33" name="Rectangle 33"/>
            <xdr:cNvSpPr>
              <a:spLocks/>
            </xdr:cNvSpPr>
          </xdr:nvSpPr>
          <xdr:spPr>
            <a:xfrm>
              <a:off x="3312" y="1970"/>
              <a:ext cx="71" cy="764"/>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flipV="1">
              <a:off x="3350" y="1962"/>
              <a:ext cx="0" cy="77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5" name="AutoShape 35"/>
          <xdr:cNvSpPr>
            <a:spLocks/>
          </xdr:cNvSpPr>
        </xdr:nvSpPr>
        <xdr:spPr>
          <a:xfrm rot="5400000" flipV="1">
            <a:off x="485" y="324"/>
            <a:ext cx="91" cy="16"/>
          </a:xfrm>
          <a:custGeom>
            <a:pathLst>
              <a:path h="21600" w="21600">
                <a:moveTo>
                  <a:pt x="0" y="0"/>
                </a:moveTo>
                <a:lnTo>
                  <a:pt x="5539" y="21600"/>
                </a:lnTo>
                <a:lnTo>
                  <a:pt x="16061" y="21600"/>
                </a:lnTo>
                <a:lnTo>
                  <a:pt x="21600" y="0"/>
                </a:lnTo>
                <a:lnTo>
                  <a:pt x="0" y="0"/>
                </a:lnTo>
                <a:close/>
              </a:path>
            </a:pathLst>
          </a:cu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descr="75%"/>
          <xdr:cNvSpPr>
            <a:spLocks/>
          </xdr:cNvSpPr>
        </xdr:nvSpPr>
        <xdr:spPr>
          <a:xfrm>
            <a:off x="539" y="309"/>
            <a:ext cx="32" cy="46"/>
          </a:xfrm>
          <a:prstGeom prst="rect">
            <a:avLst/>
          </a:prstGeom>
          <a:pattFill prst="pct75">
            <a:fgClr>
              <a:srgbClr val="000000"/>
            </a:fgClr>
            <a:bgClr>
              <a:srgbClr val="00B7A5"/>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37"/>
          <xdr:cNvSpPr>
            <a:spLocks/>
          </xdr:cNvSpPr>
        </xdr:nvSpPr>
        <xdr:spPr>
          <a:xfrm>
            <a:off x="384" y="303"/>
            <a:ext cx="10" cy="59"/>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AutoShape 38"/>
          <xdr:cNvSpPr>
            <a:spLocks/>
          </xdr:cNvSpPr>
        </xdr:nvSpPr>
        <xdr:spPr>
          <a:xfrm rot="16200000" flipH="1" flipV="1">
            <a:off x="394" y="287"/>
            <a:ext cx="16" cy="91"/>
          </a:xfrm>
          <a:custGeom>
            <a:pathLst>
              <a:path h="21600" w="21600">
                <a:moveTo>
                  <a:pt x="0" y="0"/>
                </a:moveTo>
                <a:lnTo>
                  <a:pt x="3651" y="21600"/>
                </a:lnTo>
                <a:lnTo>
                  <a:pt x="17949" y="21600"/>
                </a:lnTo>
                <a:lnTo>
                  <a:pt x="21600" y="0"/>
                </a:lnTo>
                <a:lnTo>
                  <a:pt x="0" y="0"/>
                </a:lnTo>
                <a:close/>
              </a:path>
            </a:pathLst>
          </a:cu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426" y="272"/>
            <a:ext cx="19" cy="122"/>
          </a:xfrm>
          <a:prstGeom prst="rect">
            <a:avLst/>
          </a:prstGeom>
          <a:gradFill rotWithShape="1">
            <a:gsLst>
              <a:gs pos="0">
                <a:srgbClr val="003731"/>
              </a:gs>
              <a:gs pos="50000">
                <a:srgbClr val="00B7A5"/>
              </a:gs>
              <a:gs pos="100000">
                <a:srgbClr val="003731"/>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314325</xdr:colOff>
      <xdr:row>20</xdr:row>
      <xdr:rowOff>123825</xdr:rowOff>
    </xdr:from>
    <xdr:to>
      <xdr:col>6</xdr:col>
      <xdr:colOff>314325</xdr:colOff>
      <xdr:row>23</xdr:row>
      <xdr:rowOff>85725</xdr:rowOff>
    </xdr:to>
    <xdr:sp>
      <xdr:nvSpPr>
        <xdr:cNvPr id="40" name="Line 40"/>
        <xdr:cNvSpPr>
          <a:spLocks/>
        </xdr:cNvSpPr>
      </xdr:nvSpPr>
      <xdr:spPr>
        <a:xfrm>
          <a:off x="2981325" y="3381375"/>
          <a:ext cx="0" cy="4857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21</xdr:row>
      <xdr:rowOff>95250</xdr:rowOff>
    </xdr:from>
    <xdr:to>
      <xdr:col>5</xdr:col>
      <xdr:colOff>266700</xdr:colOff>
      <xdr:row>23</xdr:row>
      <xdr:rowOff>85725</xdr:rowOff>
    </xdr:to>
    <xdr:sp>
      <xdr:nvSpPr>
        <xdr:cNvPr id="41" name="Freeform 41"/>
        <xdr:cNvSpPr>
          <a:spLocks/>
        </xdr:cNvSpPr>
      </xdr:nvSpPr>
      <xdr:spPr>
        <a:xfrm flipH="1">
          <a:off x="1676400" y="3533775"/>
          <a:ext cx="647700" cy="333375"/>
        </a:xfrm>
        <a:custGeom>
          <a:pathLst>
            <a:path h="245" w="529">
              <a:moveTo>
                <a:pt x="528" y="0"/>
              </a:moveTo>
              <a:lnTo>
                <a:pt x="0" y="0"/>
              </a:lnTo>
              <a:lnTo>
                <a:pt x="0" y="244"/>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8</xdr:row>
      <xdr:rowOff>0</xdr:rowOff>
    </xdr:from>
    <xdr:to>
      <xdr:col>10</xdr:col>
      <xdr:colOff>342900</xdr:colOff>
      <xdr:row>9</xdr:row>
      <xdr:rowOff>85725</xdr:rowOff>
    </xdr:to>
    <xdr:sp>
      <xdr:nvSpPr>
        <xdr:cNvPr id="42" name="Freeform 42"/>
        <xdr:cNvSpPr>
          <a:spLocks/>
        </xdr:cNvSpPr>
      </xdr:nvSpPr>
      <xdr:spPr>
        <a:xfrm flipH="1">
          <a:off x="3524250" y="1314450"/>
          <a:ext cx="1924050" cy="247650"/>
        </a:xfrm>
        <a:custGeom>
          <a:pathLst>
            <a:path h="193" w="1429">
              <a:moveTo>
                <a:pt x="0" y="192"/>
              </a:moveTo>
              <a:lnTo>
                <a:pt x="0" y="0"/>
              </a:lnTo>
              <a:lnTo>
                <a:pt x="1428" y="0"/>
              </a:lnTo>
            </a:path>
          </a:pathLst>
        </a:cu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11</xdr:row>
      <xdr:rowOff>19050</xdr:rowOff>
    </xdr:from>
    <xdr:to>
      <xdr:col>13</xdr:col>
      <xdr:colOff>476250</xdr:colOff>
      <xdr:row>11</xdr:row>
      <xdr:rowOff>19050</xdr:rowOff>
    </xdr:to>
    <xdr:sp>
      <xdr:nvSpPr>
        <xdr:cNvPr id="43" name="Line 44"/>
        <xdr:cNvSpPr>
          <a:spLocks/>
        </xdr:cNvSpPr>
      </xdr:nvSpPr>
      <xdr:spPr>
        <a:xfrm>
          <a:off x="5772150" y="1819275"/>
          <a:ext cx="1638300" cy="0"/>
        </a:xfrm>
        <a:prstGeom prst="line">
          <a:avLst/>
        </a:prstGeom>
        <a:noFill/>
        <a:ln w="317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457200</xdr:colOff>
      <xdr:row>11</xdr:row>
      <xdr:rowOff>28575</xdr:rowOff>
    </xdr:from>
    <xdr:to>
      <xdr:col>13</xdr:col>
      <xdr:colOff>457200</xdr:colOff>
      <xdr:row>28</xdr:row>
      <xdr:rowOff>38100</xdr:rowOff>
    </xdr:to>
    <xdr:sp>
      <xdr:nvSpPr>
        <xdr:cNvPr id="44" name="Line 45"/>
        <xdr:cNvSpPr>
          <a:spLocks/>
        </xdr:cNvSpPr>
      </xdr:nvSpPr>
      <xdr:spPr>
        <a:xfrm>
          <a:off x="7391400" y="1828800"/>
          <a:ext cx="0" cy="281940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28</xdr:row>
      <xdr:rowOff>19050</xdr:rowOff>
    </xdr:from>
    <xdr:to>
      <xdr:col>13</xdr:col>
      <xdr:colOff>466725</xdr:colOff>
      <xdr:row>28</xdr:row>
      <xdr:rowOff>19050</xdr:rowOff>
    </xdr:to>
    <xdr:sp>
      <xdr:nvSpPr>
        <xdr:cNvPr id="45" name="Line 46"/>
        <xdr:cNvSpPr>
          <a:spLocks/>
        </xdr:cNvSpPr>
      </xdr:nvSpPr>
      <xdr:spPr>
        <a:xfrm>
          <a:off x="2676525" y="4629150"/>
          <a:ext cx="472440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26</xdr:row>
      <xdr:rowOff>95250</xdr:rowOff>
    </xdr:from>
    <xdr:to>
      <xdr:col>6</xdr:col>
      <xdr:colOff>19050</xdr:colOff>
      <xdr:row>28</xdr:row>
      <xdr:rowOff>19050</xdr:rowOff>
    </xdr:to>
    <xdr:sp>
      <xdr:nvSpPr>
        <xdr:cNvPr id="46" name="Line 47"/>
        <xdr:cNvSpPr>
          <a:spLocks/>
        </xdr:cNvSpPr>
      </xdr:nvSpPr>
      <xdr:spPr>
        <a:xfrm>
          <a:off x="2686050" y="4381500"/>
          <a:ext cx="0" cy="24765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19</xdr:row>
      <xdr:rowOff>9525</xdr:rowOff>
    </xdr:from>
    <xdr:to>
      <xdr:col>10</xdr:col>
      <xdr:colOff>352425</xdr:colOff>
      <xdr:row>19</xdr:row>
      <xdr:rowOff>9525</xdr:rowOff>
    </xdr:to>
    <xdr:sp>
      <xdr:nvSpPr>
        <xdr:cNvPr id="47" name="Line 48"/>
        <xdr:cNvSpPr>
          <a:spLocks/>
        </xdr:cNvSpPr>
      </xdr:nvSpPr>
      <xdr:spPr>
        <a:xfrm rot="5400000">
          <a:off x="4638675" y="3105150"/>
          <a:ext cx="8191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19</xdr:row>
      <xdr:rowOff>0</xdr:rowOff>
    </xdr:from>
    <xdr:to>
      <xdr:col>5</xdr:col>
      <xdr:colOff>504825</xdr:colOff>
      <xdr:row>23</xdr:row>
      <xdr:rowOff>85725</xdr:rowOff>
    </xdr:to>
    <xdr:sp>
      <xdr:nvSpPr>
        <xdr:cNvPr id="48" name="Line 49"/>
        <xdr:cNvSpPr>
          <a:spLocks/>
        </xdr:cNvSpPr>
      </xdr:nvSpPr>
      <xdr:spPr>
        <a:xfrm>
          <a:off x="2562225" y="3095625"/>
          <a:ext cx="0" cy="771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20</xdr:row>
      <xdr:rowOff>66675</xdr:rowOff>
    </xdr:from>
    <xdr:to>
      <xdr:col>10</xdr:col>
      <xdr:colOff>352425</xdr:colOff>
      <xdr:row>20</xdr:row>
      <xdr:rowOff>66675</xdr:rowOff>
    </xdr:to>
    <xdr:sp>
      <xdr:nvSpPr>
        <xdr:cNvPr id="49" name="Line 50"/>
        <xdr:cNvSpPr>
          <a:spLocks/>
        </xdr:cNvSpPr>
      </xdr:nvSpPr>
      <xdr:spPr>
        <a:xfrm rot="5400000">
          <a:off x="4638675" y="3324225"/>
          <a:ext cx="8191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114300</xdr:colOff>
      <xdr:row>1</xdr:row>
      <xdr:rowOff>85725</xdr:rowOff>
    </xdr:from>
    <xdr:to>
      <xdr:col>14</xdr:col>
      <xdr:colOff>28575</xdr:colOff>
      <xdr:row>2</xdr:row>
      <xdr:rowOff>104775</xdr:rowOff>
    </xdr:to>
    <xdr:pic>
      <xdr:nvPicPr>
        <xdr:cNvPr id="50" name="Picture 51" descr="Logo-SCAW"/>
        <xdr:cNvPicPr preferRelativeResize="1">
          <a:picLocks noChangeAspect="1"/>
        </xdr:cNvPicPr>
      </xdr:nvPicPr>
      <xdr:blipFill>
        <a:blip r:embed="rId1"/>
        <a:stretch>
          <a:fillRect/>
        </a:stretch>
      </xdr:blipFill>
      <xdr:spPr>
        <a:xfrm>
          <a:off x="6438900" y="180975"/>
          <a:ext cx="11334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485775</xdr:colOff>
      <xdr:row>1</xdr:row>
      <xdr:rowOff>142875</xdr:rowOff>
    </xdr:to>
    <xdr:pic>
      <xdr:nvPicPr>
        <xdr:cNvPr id="1" name="Picture 1" descr="Logo-SCAW"/>
        <xdr:cNvPicPr preferRelativeResize="1">
          <a:picLocks noChangeAspect="1"/>
        </xdr:cNvPicPr>
      </xdr:nvPicPr>
      <xdr:blipFill>
        <a:blip r:embed="rId1"/>
        <a:stretch>
          <a:fillRect/>
        </a:stretch>
      </xdr:blipFill>
      <xdr:spPr>
        <a:xfrm>
          <a:off x="647700" y="57150"/>
          <a:ext cx="1133475" cy="333375"/>
        </a:xfrm>
        <a:prstGeom prst="rect">
          <a:avLst/>
        </a:prstGeom>
        <a:noFill/>
        <a:ln w="9525" cmpd="sng">
          <a:noFill/>
        </a:ln>
      </xdr:spPr>
    </xdr:pic>
    <xdr:clientData/>
  </xdr:twoCellAnchor>
  <xdr:twoCellAnchor editAs="oneCell">
    <xdr:from>
      <xdr:col>1</xdr:col>
      <xdr:colOff>0</xdr:colOff>
      <xdr:row>48</xdr:row>
      <xdr:rowOff>57150</xdr:rowOff>
    </xdr:from>
    <xdr:to>
      <xdr:col>2</xdr:col>
      <xdr:colOff>485775</xdr:colOff>
      <xdr:row>49</xdr:row>
      <xdr:rowOff>142875</xdr:rowOff>
    </xdr:to>
    <xdr:pic>
      <xdr:nvPicPr>
        <xdr:cNvPr id="2" name="Picture 2" descr="Logo-SCAW"/>
        <xdr:cNvPicPr preferRelativeResize="1">
          <a:picLocks noChangeAspect="1"/>
        </xdr:cNvPicPr>
      </xdr:nvPicPr>
      <xdr:blipFill>
        <a:blip r:embed="rId1"/>
        <a:stretch>
          <a:fillRect/>
        </a:stretch>
      </xdr:blipFill>
      <xdr:spPr>
        <a:xfrm>
          <a:off x="647700" y="8162925"/>
          <a:ext cx="1133475" cy="333375"/>
        </a:xfrm>
        <a:prstGeom prst="rect">
          <a:avLst/>
        </a:prstGeom>
        <a:noFill/>
        <a:ln w="9525" cmpd="sng">
          <a:noFill/>
        </a:ln>
      </xdr:spPr>
    </xdr:pic>
    <xdr:clientData/>
  </xdr:twoCellAnchor>
  <xdr:twoCellAnchor editAs="oneCell">
    <xdr:from>
      <xdr:col>1</xdr:col>
      <xdr:colOff>0</xdr:colOff>
      <xdr:row>100</xdr:row>
      <xdr:rowOff>57150</xdr:rowOff>
    </xdr:from>
    <xdr:to>
      <xdr:col>2</xdr:col>
      <xdr:colOff>485775</xdr:colOff>
      <xdr:row>101</xdr:row>
      <xdr:rowOff>142875</xdr:rowOff>
    </xdr:to>
    <xdr:pic>
      <xdr:nvPicPr>
        <xdr:cNvPr id="3" name="Picture 3" descr="Logo-SCAW"/>
        <xdr:cNvPicPr preferRelativeResize="1">
          <a:picLocks noChangeAspect="1"/>
        </xdr:cNvPicPr>
      </xdr:nvPicPr>
      <xdr:blipFill>
        <a:blip r:embed="rId1"/>
        <a:stretch>
          <a:fillRect/>
        </a:stretch>
      </xdr:blipFill>
      <xdr:spPr>
        <a:xfrm>
          <a:off x="647700" y="16849725"/>
          <a:ext cx="11334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d_Mill%20Siz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llbal_Dire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llsim_Di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Data_File"/>
      <sheetName val="Reports"/>
      <sheetName val="SiE"/>
      <sheetName val="Bij"/>
      <sheetName val="J&amp;T"/>
      <sheetName val="C"/>
      <sheetName val="Mill"/>
      <sheetName val="About ..."/>
      <sheetName val="Flowsheet"/>
    </sheetNames>
    <sheetDataSet>
      <sheetData sheetId="5">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out ..."/>
      <sheetName val="Control_Panel"/>
      <sheetName val="Data_File"/>
      <sheetName val="Flowsheet"/>
      <sheetName val="Reports"/>
      <sheetName val="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bout ..."/>
      <sheetName val="Data_File"/>
      <sheetName val="Flowsheet"/>
      <sheetName val="Reports"/>
      <sheetName val="Mill_Power"/>
      <sheetName val="SiE"/>
      <sheetName val="Bij"/>
      <sheetName val="J&amp;T"/>
      <sheetName val="C"/>
      <sheetName val="M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57"/>
  <sheetViews>
    <sheetView zoomScalePageLayoutView="0" workbookViewId="0" topLeftCell="A1">
      <selection activeCell="A1" sqref="A1"/>
    </sheetView>
  </sheetViews>
  <sheetFormatPr defaultColWidth="9.140625" defaultRowHeight="12.75"/>
  <cols>
    <col min="1" max="1" width="1.7109375" style="0" customWidth="1"/>
    <col min="2" max="12" width="9.140625" style="0" customWidth="1"/>
    <col min="13" max="13" width="1.7109375" style="0" customWidth="1"/>
  </cols>
  <sheetData>
    <row r="1" ht="12.75">
      <c r="B1" s="180" t="s">
        <v>209</v>
      </c>
    </row>
    <row r="2" ht="12.75">
      <c r="B2" s="104" t="s">
        <v>215</v>
      </c>
    </row>
    <row r="56" ht="12.75">
      <c r="B56" s="180" t="s">
        <v>209</v>
      </c>
    </row>
    <row r="57" ht="12.75">
      <c r="B57" s="104" t="s">
        <v>210</v>
      </c>
    </row>
  </sheetData>
  <sheetProtection/>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sheetPr codeName="Sheet12"/>
  <dimension ref="B2:V31"/>
  <sheetViews>
    <sheetView zoomScale="120" zoomScaleNormal="120" zoomScalePageLayoutView="0" workbookViewId="0" topLeftCell="A1">
      <selection activeCell="F25" sqref="F25"/>
    </sheetView>
  </sheetViews>
  <sheetFormatPr defaultColWidth="9.140625" defaultRowHeight="12.75"/>
  <cols>
    <col min="1" max="2" width="1.7109375" style="0" customWidth="1"/>
    <col min="3" max="7" width="8.7109375" style="0" customWidth="1"/>
    <col min="8" max="8" width="10.7109375" style="0" customWidth="1"/>
    <col min="9" max="16" width="8.7109375" style="0" customWidth="1"/>
    <col min="17" max="17" width="1.7109375" style="0" customWidth="1"/>
    <col min="18" max="22" width="10.7109375" style="0" customWidth="1"/>
    <col min="23" max="24" width="9.140625" style="0" customWidth="1"/>
    <col min="25" max="25" width="13.7109375" style="0" bestFit="1" customWidth="1"/>
    <col min="26" max="28" width="10.7109375" style="0" customWidth="1"/>
    <col min="29" max="29" width="9.140625" style="0" customWidth="1"/>
    <col min="30" max="32" width="10.7109375" style="0" customWidth="1"/>
    <col min="33" max="33" width="9.140625" style="0" customWidth="1"/>
    <col min="34" max="36" width="10.7109375" style="0" customWidth="1"/>
  </cols>
  <sheetData>
    <row r="1" ht="7.5" customHeight="1" thickBot="1"/>
    <row r="2" spans="2:17" ht="24.75" customHeight="1" thickTop="1">
      <c r="B2" s="66"/>
      <c r="C2" s="143" t="s">
        <v>208</v>
      </c>
      <c r="D2" s="67"/>
      <c r="E2" s="67"/>
      <c r="F2" s="67"/>
      <c r="G2" s="67"/>
      <c r="H2" s="67"/>
      <c r="I2" s="67"/>
      <c r="J2" s="67"/>
      <c r="K2" s="67"/>
      <c r="L2" s="67"/>
      <c r="M2" s="67"/>
      <c r="N2" s="67"/>
      <c r="O2" s="67"/>
      <c r="P2" s="67"/>
      <c r="Q2" s="68"/>
    </row>
    <row r="3" spans="2:17" ht="12.75" customHeight="1">
      <c r="B3" s="46"/>
      <c r="C3" s="181"/>
      <c r="D3" s="34"/>
      <c r="E3" s="34"/>
      <c r="F3" s="34"/>
      <c r="G3" s="34"/>
      <c r="H3" s="34"/>
      <c r="I3" s="34"/>
      <c r="J3" s="34"/>
      <c r="K3" s="34"/>
      <c r="L3" s="34"/>
      <c r="M3" s="34"/>
      <c r="N3" s="34"/>
      <c r="O3" s="34"/>
      <c r="P3" s="34"/>
      <c r="Q3" s="35"/>
    </row>
    <row r="4" spans="2:17" ht="15.75">
      <c r="B4" s="46"/>
      <c r="C4" s="34"/>
      <c r="D4" s="200" t="s">
        <v>151</v>
      </c>
      <c r="E4" s="200"/>
      <c r="F4" s="200"/>
      <c r="G4" s="200"/>
      <c r="H4" s="200"/>
      <c r="I4" s="200"/>
      <c r="J4" s="200"/>
      <c r="K4" s="200"/>
      <c r="L4" s="200"/>
      <c r="M4" s="200"/>
      <c r="N4" s="200"/>
      <c r="O4" s="200"/>
      <c r="P4" s="34"/>
      <c r="Q4" s="35"/>
    </row>
    <row r="5" spans="2:17" ht="12.75">
      <c r="B5" s="46"/>
      <c r="C5" s="34"/>
      <c r="D5" s="34"/>
      <c r="E5" s="34"/>
      <c r="F5" s="34"/>
      <c r="G5" s="34"/>
      <c r="H5" s="34"/>
      <c r="I5" s="34"/>
      <c r="J5" s="34"/>
      <c r="K5" s="34"/>
      <c r="L5" s="34"/>
      <c r="M5" s="34"/>
      <c r="N5" s="34"/>
      <c r="O5" s="34"/>
      <c r="P5" s="34"/>
      <c r="Q5" s="35"/>
    </row>
    <row r="6" spans="2:17" ht="12.75">
      <c r="B6" s="46"/>
      <c r="C6" s="52" t="s">
        <v>102</v>
      </c>
      <c r="D6" s="34"/>
      <c r="E6" s="154">
        <f>Data_File!T5</f>
        <v>1</v>
      </c>
      <c r="F6" s="34"/>
      <c r="G6" s="34"/>
      <c r="H6" s="34"/>
      <c r="I6" s="34"/>
      <c r="J6" s="34"/>
      <c r="K6" s="34"/>
      <c r="L6" s="34"/>
      <c r="M6" s="34"/>
      <c r="N6" s="34"/>
      <c r="O6" s="34"/>
      <c r="P6" s="34"/>
      <c r="Q6" s="35"/>
    </row>
    <row r="7" spans="2:17" ht="12.75">
      <c r="B7" s="46"/>
      <c r="C7" s="34"/>
      <c r="D7" s="34"/>
      <c r="E7" s="34"/>
      <c r="F7" s="34"/>
      <c r="G7" s="34"/>
      <c r="H7" s="34"/>
      <c r="I7" s="34"/>
      <c r="J7" s="34"/>
      <c r="K7" s="34"/>
      <c r="L7" s="34"/>
      <c r="M7" s="34"/>
      <c r="N7" s="34"/>
      <c r="O7" s="34"/>
      <c r="P7" s="34"/>
      <c r="Q7" s="35"/>
    </row>
    <row r="8" spans="2:17" ht="12.75">
      <c r="B8" s="46"/>
      <c r="C8" s="52" t="s">
        <v>132</v>
      </c>
      <c r="D8" s="34"/>
      <c r="E8" s="34"/>
      <c r="F8" s="34"/>
      <c r="G8" s="34"/>
      <c r="H8" s="34"/>
      <c r="I8" s="34"/>
      <c r="J8" s="34"/>
      <c r="K8" s="34"/>
      <c r="L8" s="34"/>
      <c r="M8" s="34"/>
      <c r="N8" s="34"/>
      <c r="O8" s="34"/>
      <c r="P8" s="34"/>
      <c r="Q8" s="35"/>
    </row>
    <row r="9" spans="2:17" ht="12.75">
      <c r="B9" s="46"/>
      <c r="C9" s="82" t="s">
        <v>140</v>
      </c>
      <c r="D9" s="83"/>
      <c r="E9" s="34"/>
      <c r="F9" s="34"/>
      <c r="G9" s="34"/>
      <c r="H9" s="34"/>
      <c r="I9" s="34"/>
      <c r="J9" s="34"/>
      <c r="K9" s="34"/>
      <c r="L9" s="34"/>
      <c r="M9" s="34"/>
      <c r="N9" s="34"/>
      <c r="O9" s="34"/>
      <c r="P9" s="34"/>
      <c r="Q9" s="35"/>
    </row>
    <row r="10" spans="2:22" ht="12.75">
      <c r="B10" s="46"/>
      <c r="C10" s="34" t="s">
        <v>141</v>
      </c>
      <c r="D10" s="83"/>
      <c r="E10" s="185">
        <v>0</v>
      </c>
      <c r="F10" s="83"/>
      <c r="G10" s="34"/>
      <c r="H10" s="34"/>
      <c r="I10" s="69"/>
      <c r="J10" s="34"/>
      <c r="K10" s="69"/>
      <c r="L10" s="69"/>
      <c r="M10" s="69"/>
      <c r="N10" s="69"/>
      <c r="O10" s="69"/>
      <c r="P10" s="69"/>
      <c r="Q10" s="65"/>
      <c r="R10" s="1"/>
      <c r="S10" s="1"/>
      <c r="T10" s="1"/>
      <c r="U10" s="1"/>
      <c r="V10" s="1"/>
    </row>
    <row r="11" spans="2:17" ht="12.75">
      <c r="B11" s="46"/>
      <c r="C11" s="34" t="s">
        <v>142</v>
      </c>
      <c r="D11" s="83"/>
      <c r="E11" s="51">
        <f>E12</f>
        <v>1</v>
      </c>
      <c r="F11" s="83"/>
      <c r="G11" s="34"/>
      <c r="H11" s="34"/>
      <c r="I11" s="34"/>
      <c r="J11" s="34"/>
      <c r="K11" s="34"/>
      <c r="L11" s="34"/>
      <c r="M11" s="34"/>
      <c r="N11" s="64"/>
      <c r="O11" s="64"/>
      <c r="P11" s="64"/>
      <c r="Q11" s="70"/>
    </row>
    <row r="12" spans="2:17" ht="12.75">
      <c r="B12" s="46"/>
      <c r="C12" s="34" t="s">
        <v>143</v>
      </c>
      <c r="D12" s="83"/>
      <c r="E12" s="185">
        <v>1</v>
      </c>
      <c r="F12" s="83"/>
      <c r="G12" s="34"/>
      <c r="H12" s="34"/>
      <c r="I12" s="34"/>
      <c r="J12" s="34"/>
      <c r="K12" s="34"/>
      <c r="L12" s="34"/>
      <c r="M12" s="34"/>
      <c r="N12" s="64"/>
      <c r="O12" s="64"/>
      <c r="P12" s="64"/>
      <c r="Q12" s="70"/>
    </row>
    <row r="13" spans="2:17" ht="12.75">
      <c r="B13" s="46"/>
      <c r="C13" s="34" t="s">
        <v>144</v>
      </c>
      <c r="D13" s="83"/>
      <c r="E13" s="185">
        <v>1</v>
      </c>
      <c r="F13" s="83"/>
      <c r="G13" s="34"/>
      <c r="H13" s="34"/>
      <c r="I13" s="34"/>
      <c r="J13" s="34"/>
      <c r="K13" s="34"/>
      <c r="L13" s="34"/>
      <c r="M13" s="34"/>
      <c r="N13" s="64"/>
      <c r="O13" s="64"/>
      <c r="P13" s="64"/>
      <c r="Q13" s="70"/>
    </row>
    <row r="14" spans="2:17" ht="12.75">
      <c r="B14" s="46"/>
      <c r="C14" s="34" t="s">
        <v>145</v>
      </c>
      <c r="D14" s="83"/>
      <c r="E14" s="185">
        <v>1</v>
      </c>
      <c r="F14" s="83"/>
      <c r="G14" s="34"/>
      <c r="H14" s="34"/>
      <c r="I14" s="34"/>
      <c r="J14" s="34"/>
      <c r="K14" s="34"/>
      <c r="L14" s="34"/>
      <c r="M14" s="34"/>
      <c r="N14" s="64"/>
      <c r="O14" s="64"/>
      <c r="P14" s="64"/>
      <c r="Q14" s="70"/>
    </row>
    <row r="15" spans="2:17" ht="12.75">
      <c r="B15" s="46"/>
      <c r="C15" s="34"/>
      <c r="D15" s="83"/>
      <c r="E15" s="34"/>
      <c r="F15" s="83"/>
      <c r="G15" s="34"/>
      <c r="H15" s="34"/>
      <c r="I15" s="34"/>
      <c r="J15" s="34"/>
      <c r="K15" s="34"/>
      <c r="L15" s="34"/>
      <c r="M15" s="34"/>
      <c r="N15" s="64"/>
      <c r="O15" s="64"/>
      <c r="P15" s="64"/>
      <c r="Q15" s="70"/>
    </row>
    <row r="16" spans="2:17" ht="12.75">
      <c r="B16" s="46"/>
      <c r="C16" s="82" t="s">
        <v>139</v>
      </c>
      <c r="D16" s="83"/>
      <c r="E16" s="185">
        <v>1</v>
      </c>
      <c r="F16" s="83"/>
      <c r="G16" s="34"/>
      <c r="H16" s="34"/>
      <c r="I16" s="34"/>
      <c r="J16" s="34"/>
      <c r="K16" s="34"/>
      <c r="L16" s="34"/>
      <c r="M16" s="34"/>
      <c r="N16" s="64"/>
      <c r="O16" s="64"/>
      <c r="P16" s="64"/>
      <c r="Q16" s="70"/>
    </row>
    <row r="17" spans="2:17" ht="12.75">
      <c r="B17" s="46"/>
      <c r="C17" s="73" t="s">
        <v>104</v>
      </c>
      <c r="D17" s="83"/>
      <c r="E17" s="185">
        <v>1</v>
      </c>
      <c r="F17" s="83"/>
      <c r="G17" s="34"/>
      <c r="H17" s="34"/>
      <c r="I17" s="34"/>
      <c r="J17" s="34"/>
      <c r="K17" s="34"/>
      <c r="L17" s="34"/>
      <c r="M17" s="34"/>
      <c r="N17" s="64"/>
      <c r="O17" s="64"/>
      <c r="P17" s="64"/>
      <c r="Q17" s="70"/>
    </row>
    <row r="18" spans="2:17" ht="12.75">
      <c r="B18" s="46"/>
      <c r="C18" s="34"/>
      <c r="D18" s="34"/>
      <c r="E18" s="34"/>
      <c r="F18" s="34"/>
      <c r="G18" s="34"/>
      <c r="H18" s="34"/>
      <c r="I18" s="34"/>
      <c r="J18" s="34"/>
      <c r="K18" s="34"/>
      <c r="L18" s="34"/>
      <c r="M18" s="34"/>
      <c r="N18" s="64"/>
      <c r="O18" s="64"/>
      <c r="P18" s="64"/>
      <c r="Q18" s="70"/>
    </row>
    <row r="19" spans="2:17" ht="12.75">
      <c r="B19" s="46"/>
      <c r="C19" s="52" t="s">
        <v>112</v>
      </c>
      <c r="D19" s="34"/>
      <c r="E19" s="34"/>
      <c r="F19" s="34"/>
      <c r="G19" s="34"/>
      <c r="H19" s="34"/>
      <c r="I19" s="34"/>
      <c r="J19" s="34"/>
      <c r="K19" s="34"/>
      <c r="L19" s="34"/>
      <c r="M19" s="34"/>
      <c r="N19" s="64"/>
      <c r="O19" s="64"/>
      <c r="P19" s="64"/>
      <c r="Q19" s="70"/>
    </row>
    <row r="20" spans="2:17" ht="12.75">
      <c r="B20" s="46"/>
      <c r="C20" s="44" t="s">
        <v>86</v>
      </c>
      <c r="D20" s="44" t="s">
        <v>113</v>
      </c>
      <c r="E20" s="44" t="s">
        <v>114</v>
      </c>
      <c r="F20" s="44" t="s">
        <v>115</v>
      </c>
      <c r="G20" s="44"/>
      <c r="H20" s="34"/>
      <c r="I20" s="34"/>
      <c r="J20" s="34"/>
      <c r="K20" s="34"/>
      <c r="L20" s="34"/>
      <c r="M20" s="34"/>
      <c r="N20" s="34"/>
      <c r="O20" s="34"/>
      <c r="P20" s="34"/>
      <c r="Q20" s="35"/>
    </row>
    <row r="21" spans="2:17" ht="12.75">
      <c r="B21" s="46"/>
      <c r="C21" s="186">
        <v>0.030864224825425387</v>
      </c>
      <c r="D21" s="186">
        <v>0.003308263220427109</v>
      </c>
      <c r="E21" s="187">
        <v>52.066504171463286</v>
      </c>
      <c r="F21" s="186">
        <v>0.6795943077768243</v>
      </c>
      <c r="G21" s="69"/>
      <c r="H21" s="34">
        <v>4</v>
      </c>
      <c r="I21" s="34"/>
      <c r="J21" s="34"/>
      <c r="K21" s="34"/>
      <c r="L21" s="34"/>
      <c r="M21" s="34"/>
      <c r="N21" s="34"/>
      <c r="O21" s="34"/>
      <c r="P21" s="34"/>
      <c r="Q21" s="35"/>
    </row>
    <row r="22" spans="2:17" ht="12.75">
      <c r="B22" s="46"/>
      <c r="C22" s="34"/>
      <c r="D22" s="34"/>
      <c r="E22" s="34"/>
      <c r="F22" s="34"/>
      <c r="G22" s="34"/>
      <c r="H22" s="34"/>
      <c r="I22" s="34"/>
      <c r="J22" s="34"/>
      <c r="K22" s="34"/>
      <c r="L22" s="34"/>
      <c r="M22" s="34"/>
      <c r="N22" s="34"/>
      <c r="O22" s="34"/>
      <c r="P22" s="34"/>
      <c r="Q22" s="35"/>
    </row>
    <row r="23" spans="2:17" ht="12.75">
      <c r="B23" s="46"/>
      <c r="C23" s="52" t="s">
        <v>138</v>
      </c>
      <c r="D23" s="52"/>
      <c r="E23" s="32">
        <f>(C!AB43)^0.5</f>
        <v>1.4344973488480586</v>
      </c>
      <c r="F23" s="34"/>
      <c r="G23" s="34"/>
      <c r="H23" s="34"/>
      <c r="I23" s="34"/>
      <c r="J23" s="34"/>
      <c r="K23" s="34"/>
      <c r="L23" s="34"/>
      <c r="M23" s="34"/>
      <c r="N23" s="34"/>
      <c r="O23" s="34"/>
      <c r="P23" s="34"/>
      <c r="Q23" s="35"/>
    </row>
    <row r="24" spans="2:17" ht="12.75">
      <c r="B24" s="46"/>
      <c r="C24" s="34"/>
      <c r="D24" s="34"/>
      <c r="E24" s="34"/>
      <c r="F24" s="34"/>
      <c r="G24" s="34"/>
      <c r="H24" s="34"/>
      <c r="I24" s="34"/>
      <c r="J24" s="34"/>
      <c r="K24" s="34"/>
      <c r="L24" s="34"/>
      <c r="M24" s="34"/>
      <c r="N24" s="34"/>
      <c r="O24" s="34"/>
      <c r="P24" s="34"/>
      <c r="Q24" s="35"/>
    </row>
    <row r="25" spans="2:17" ht="12.75">
      <c r="B25" s="46"/>
      <c r="C25" s="52" t="s">
        <v>85</v>
      </c>
      <c r="D25" s="44"/>
      <c r="E25" s="44"/>
      <c r="F25" s="34"/>
      <c r="G25" s="34"/>
      <c r="H25" s="34"/>
      <c r="I25" s="34"/>
      <c r="J25" s="34"/>
      <c r="K25" s="34"/>
      <c r="L25" s="34"/>
      <c r="M25" s="34"/>
      <c r="N25" s="34"/>
      <c r="O25" s="34"/>
      <c r="P25" s="34"/>
      <c r="Q25" s="35"/>
    </row>
    <row r="26" spans="2:17" ht="12.75">
      <c r="B26" s="46"/>
      <c r="C26" s="44" t="s">
        <v>23</v>
      </c>
      <c r="D26" s="34"/>
      <c r="E26" s="53">
        <f>C!A7</f>
        <v>3.5343319706687764</v>
      </c>
      <c r="F26" s="34"/>
      <c r="G26" s="34"/>
      <c r="H26" s="34"/>
      <c r="I26" s="34"/>
      <c r="J26" s="34"/>
      <c r="K26" s="34"/>
      <c r="L26" s="34"/>
      <c r="M26" s="34"/>
      <c r="N26" s="34"/>
      <c r="O26" s="34"/>
      <c r="P26" s="34"/>
      <c r="Q26" s="35"/>
    </row>
    <row r="27" spans="2:17" ht="12.75">
      <c r="B27" s="46"/>
      <c r="C27" s="44" t="s">
        <v>24</v>
      </c>
      <c r="D27" s="34"/>
      <c r="E27" s="50">
        <f>C!B7</f>
        <v>0.28513286497769913</v>
      </c>
      <c r="F27" s="34"/>
      <c r="G27" s="34"/>
      <c r="H27" s="34"/>
      <c r="I27" s="34"/>
      <c r="J27" s="34"/>
      <c r="K27" s="34"/>
      <c r="L27" s="34"/>
      <c r="M27" s="34"/>
      <c r="N27" s="34"/>
      <c r="O27" s="34"/>
      <c r="P27" s="34"/>
      <c r="Q27" s="35"/>
    </row>
    <row r="28" spans="2:17" ht="12.75">
      <c r="B28" s="46"/>
      <c r="C28" s="44" t="s">
        <v>25</v>
      </c>
      <c r="D28" s="34"/>
      <c r="E28" s="53">
        <f>C!C7</f>
        <v>30.05003395362672</v>
      </c>
      <c r="F28" s="34"/>
      <c r="G28" s="34"/>
      <c r="H28" s="34"/>
      <c r="I28" s="34"/>
      <c r="J28" s="34"/>
      <c r="K28" s="34"/>
      <c r="L28" s="34"/>
      <c r="M28" s="34"/>
      <c r="N28" s="34"/>
      <c r="O28" s="34"/>
      <c r="P28" s="34"/>
      <c r="Q28" s="35"/>
    </row>
    <row r="29" spans="2:17" ht="12.75">
      <c r="B29" s="46"/>
      <c r="C29" s="44" t="s">
        <v>26</v>
      </c>
      <c r="D29" s="34"/>
      <c r="E29" s="50">
        <f>C!D7</f>
        <v>-0.16438483345958843</v>
      </c>
      <c r="F29" s="34"/>
      <c r="G29" s="34"/>
      <c r="H29" s="34"/>
      <c r="I29" s="34"/>
      <c r="J29" s="34"/>
      <c r="K29" s="34"/>
      <c r="L29" s="34"/>
      <c r="M29" s="34"/>
      <c r="N29" s="34"/>
      <c r="O29" s="34"/>
      <c r="P29" s="34"/>
      <c r="Q29" s="35"/>
    </row>
    <row r="30" spans="2:17" ht="12.75">
      <c r="B30" s="46"/>
      <c r="C30" s="71" t="s">
        <v>27</v>
      </c>
      <c r="D30" s="34"/>
      <c r="E30" s="50">
        <f>C!E7</f>
        <v>0.07254152430291065</v>
      </c>
      <c r="F30" s="34"/>
      <c r="G30" s="201" t="s">
        <v>152</v>
      </c>
      <c r="H30" s="202"/>
      <c r="I30" s="202"/>
      <c r="J30" s="202"/>
      <c r="K30" s="202"/>
      <c r="L30" s="202"/>
      <c r="M30" s="202"/>
      <c r="N30" s="202"/>
      <c r="O30" s="202"/>
      <c r="P30" s="203"/>
      <c r="Q30" s="35"/>
    </row>
    <row r="31" spans="2:17" ht="13.5" thickBot="1">
      <c r="B31" s="72"/>
      <c r="C31" s="47"/>
      <c r="D31" s="47"/>
      <c r="E31" s="47"/>
      <c r="F31" s="47"/>
      <c r="G31" s="47"/>
      <c r="H31" s="47"/>
      <c r="I31" s="47"/>
      <c r="J31" s="47"/>
      <c r="K31" s="47"/>
      <c r="L31" s="47"/>
      <c r="M31" s="47"/>
      <c r="N31" s="47"/>
      <c r="O31" s="47"/>
      <c r="P31" s="47"/>
      <c r="Q31" s="48"/>
    </row>
    <row r="32" ht="13.5" thickTop="1"/>
  </sheetData>
  <sheetProtection insertColumns="0" insertRows="0"/>
  <mergeCells count="2">
    <mergeCell ref="D4:O4"/>
    <mergeCell ref="G30:P30"/>
  </mergeCells>
  <printOptions gridLines="1" horizontalCentered="1"/>
  <pageMargins left="0.25" right="0.25" top="1" bottom="1.5" header="0" footer="0.5"/>
  <pageSetup horizontalDpi="300" verticalDpi="300" orientation="landscape" r:id="rId4"/>
  <headerFooter alignWithMargins="0">
    <oddFooter>&amp;L&amp;"Arial,Bold"&amp;8Moly-Cop Tools&amp;"Arial,Regular" / &amp;F&amp;R&amp;8&amp;D /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B2:AN58"/>
  <sheetViews>
    <sheetView zoomScalePageLayoutView="0" workbookViewId="0" topLeftCell="C1">
      <selection activeCell="F7" sqref="F7:K7"/>
    </sheetView>
  </sheetViews>
  <sheetFormatPr defaultColWidth="9.140625" defaultRowHeight="12.75"/>
  <cols>
    <col min="1" max="2" width="1.7109375" style="0" customWidth="1"/>
    <col min="3" max="21" width="10.7109375" style="0" customWidth="1"/>
    <col min="22" max="23" width="1.7109375" style="0" customWidth="1"/>
    <col min="24" max="24" width="9.140625" style="0" customWidth="1"/>
    <col min="25" max="25" width="12.7109375" style="0" customWidth="1"/>
    <col min="26" max="26" width="9.140625" style="0" customWidth="1"/>
    <col min="27" max="27" width="13.7109375" style="0" bestFit="1" customWidth="1"/>
    <col min="28" max="30" width="10.7109375" style="0" customWidth="1"/>
    <col min="31" max="31" width="9.140625" style="0" customWidth="1"/>
    <col min="32" max="34" width="10.7109375" style="0" customWidth="1"/>
    <col min="35" max="35" width="9.140625" style="0" customWidth="1"/>
    <col min="36" max="38" width="10.7109375" style="0" customWidth="1"/>
  </cols>
  <sheetData>
    <row r="1" ht="7.5" customHeight="1" thickBot="1"/>
    <row r="2" spans="2:40" ht="21.75" thickTop="1">
      <c r="B2" s="66"/>
      <c r="C2" s="143" t="s">
        <v>208</v>
      </c>
      <c r="D2" s="67"/>
      <c r="E2" s="67"/>
      <c r="F2" s="67"/>
      <c r="G2" s="67"/>
      <c r="H2" s="67"/>
      <c r="I2" s="67"/>
      <c r="J2" s="67"/>
      <c r="K2" s="67"/>
      <c r="L2" s="67"/>
      <c r="M2" s="67"/>
      <c r="N2" s="67"/>
      <c r="O2" s="67"/>
      <c r="P2" s="67"/>
      <c r="Q2" s="67"/>
      <c r="R2" s="67"/>
      <c r="S2" s="67"/>
      <c r="T2" s="67"/>
      <c r="U2" s="67"/>
      <c r="V2" s="68"/>
      <c r="X2" s="117"/>
      <c r="Y2" s="85"/>
      <c r="Z2" s="85"/>
      <c r="AA2" s="85"/>
      <c r="AB2" s="85"/>
      <c r="AC2" s="85"/>
      <c r="AD2" s="85"/>
      <c r="AE2" s="85"/>
      <c r="AF2" s="85"/>
      <c r="AG2" s="85"/>
      <c r="AH2" s="85"/>
      <c r="AI2" s="85"/>
      <c r="AJ2" s="85"/>
      <c r="AK2" s="85"/>
      <c r="AL2" s="85"/>
      <c r="AM2" s="85"/>
      <c r="AN2" s="88"/>
    </row>
    <row r="3" spans="2:40" ht="15.75">
      <c r="B3" s="46"/>
      <c r="C3" s="34"/>
      <c r="D3" s="200" t="s">
        <v>172</v>
      </c>
      <c r="E3" s="214"/>
      <c r="F3" s="214"/>
      <c r="G3" s="214"/>
      <c r="H3" s="214"/>
      <c r="I3" s="214"/>
      <c r="J3" s="214"/>
      <c r="K3" s="214"/>
      <c r="L3" s="214"/>
      <c r="M3" s="214"/>
      <c r="N3" s="214"/>
      <c r="O3" s="214"/>
      <c r="P3" s="214"/>
      <c r="Q3" s="214"/>
      <c r="R3" s="214"/>
      <c r="S3" s="214"/>
      <c r="T3" s="214"/>
      <c r="U3" s="34"/>
      <c r="V3" s="35"/>
      <c r="X3" s="94"/>
      <c r="Y3" s="86"/>
      <c r="Z3" s="86"/>
      <c r="AA3" s="86"/>
      <c r="AB3" s="86"/>
      <c r="AC3" s="86"/>
      <c r="AD3" s="86"/>
      <c r="AE3" s="86"/>
      <c r="AF3" s="86"/>
      <c r="AG3" s="86"/>
      <c r="AH3" s="86"/>
      <c r="AI3" s="86"/>
      <c r="AJ3" s="86"/>
      <c r="AK3" s="86"/>
      <c r="AL3" s="86"/>
      <c r="AM3" s="86"/>
      <c r="AN3" s="89"/>
    </row>
    <row r="4" spans="2:40" ht="12.75">
      <c r="B4" s="46"/>
      <c r="C4" s="34"/>
      <c r="D4" s="34"/>
      <c r="E4" s="34"/>
      <c r="F4" s="34"/>
      <c r="G4" s="34"/>
      <c r="H4" s="34"/>
      <c r="I4" s="34"/>
      <c r="J4" s="34"/>
      <c r="K4" s="34"/>
      <c r="L4" s="34"/>
      <c r="M4" s="34"/>
      <c r="N4" s="34"/>
      <c r="O4" s="34"/>
      <c r="P4" s="34"/>
      <c r="Q4" s="34"/>
      <c r="R4" s="34"/>
      <c r="S4" s="34"/>
      <c r="T4" s="34"/>
      <c r="U4" s="34"/>
      <c r="V4" s="35"/>
      <c r="X4" s="94"/>
      <c r="Y4" s="86"/>
      <c r="Z4" s="86"/>
      <c r="AA4" s="86"/>
      <c r="AB4" s="86"/>
      <c r="AC4" s="86"/>
      <c r="AD4" s="86"/>
      <c r="AE4" s="86"/>
      <c r="AF4" s="86"/>
      <c r="AG4" s="86"/>
      <c r="AH4" s="86"/>
      <c r="AI4" s="86"/>
      <c r="AJ4" s="86"/>
      <c r="AK4" s="86"/>
      <c r="AL4" s="86"/>
      <c r="AM4" s="86"/>
      <c r="AN4" s="89"/>
    </row>
    <row r="5" spans="2:40" ht="12.75">
      <c r="B5" s="46"/>
      <c r="C5" s="83"/>
      <c r="D5" s="52" t="s">
        <v>45</v>
      </c>
      <c r="E5" s="34"/>
      <c r="F5" s="62" t="s">
        <v>136</v>
      </c>
      <c r="G5" s="83"/>
      <c r="H5" s="83"/>
      <c r="I5" s="83"/>
      <c r="J5" s="83"/>
      <c r="K5" s="83"/>
      <c r="L5" s="83"/>
      <c r="M5" s="83"/>
      <c r="N5" s="83"/>
      <c r="O5" s="83"/>
      <c r="P5" s="34"/>
      <c r="Q5" s="34"/>
      <c r="R5" s="52" t="s">
        <v>102</v>
      </c>
      <c r="S5" s="34"/>
      <c r="T5" s="188">
        <v>1</v>
      </c>
      <c r="U5" s="34"/>
      <c r="V5" s="35"/>
      <c r="X5" s="94"/>
      <c r="Y5" s="86"/>
      <c r="Z5" s="86"/>
      <c r="AA5" s="86"/>
      <c r="AB5" s="86"/>
      <c r="AC5" s="86"/>
      <c r="AD5" s="86"/>
      <c r="AE5" s="86"/>
      <c r="AF5" s="86"/>
      <c r="AG5" s="86"/>
      <c r="AH5" s="86"/>
      <c r="AI5" s="86"/>
      <c r="AJ5" s="86"/>
      <c r="AK5" s="86"/>
      <c r="AL5" s="86"/>
      <c r="AM5" s="86"/>
      <c r="AN5" s="89"/>
    </row>
    <row r="6" spans="2:40" ht="12.75">
      <c r="B6" s="46"/>
      <c r="C6" s="34"/>
      <c r="D6" s="83"/>
      <c r="E6" s="83"/>
      <c r="F6" s="83"/>
      <c r="G6" s="83"/>
      <c r="H6" s="83"/>
      <c r="I6" s="83"/>
      <c r="J6" s="83"/>
      <c r="K6" s="83"/>
      <c r="L6" s="83"/>
      <c r="M6" s="83"/>
      <c r="N6" s="83"/>
      <c r="O6" s="83"/>
      <c r="P6" s="34"/>
      <c r="Q6" s="34"/>
      <c r="R6" s="34"/>
      <c r="S6" s="34"/>
      <c r="T6" s="34"/>
      <c r="U6" s="34"/>
      <c r="V6" s="35"/>
      <c r="X6" s="94"/>
      <c r="Y6" s="86"/>
      <c r="Z6" s="86"/>
      <c r="AA6" s="86"/>
      <c r="AB6" s="86"/>
      <c r="AC6" s="86"/>
      <c r="AD6" s="86"/>
      <c r="AE6" s="86"/>
      <c r="AF6" s="86"/>
      <c r="AG6" s="86"/>
      <c r="AH6" s="86"/>
      <c r="AI6" s="86"/>
      <c r="AJ6" s="86"/>
      <c r="AK6" s="86"/>
      <c r="AL6" s="86"/>
      <c r="AM6" s="86"/>
      <c r="AN6" s="89"/>
    </row>
    <row r="7" spans="2:40" ht="12.75">
      <c r="B7" s="46"/>
      <c r="C7" s="34"/>
      <c r="D7" s="52" t="s">
        <v>44</v>
      </c>
      <c r="E7" s="83"/>
      <c r="F7" s="215"/>
      <c r="G7" s="216"/>
      <c r="H7" s="216"/>
      <c r="I7" s="216"/>
      <c r="J7" s="216"/>
      <c r="K7" s="217"/>
      <c r="L7" s="34"/>
      <c r="M7" s="34"/>
      <c r="N7" s="34"/>
      <c r="O7" s="34"/>
      <c r="P7" s="34"/>
      <c r="Q7" s="34"/>
      <c r="R7" s="34"/>
      <c r="S7" s="34"/>
      <c r="T7" s="34"/>
      <c r="U7" s="34"/>
      <c r="V7" s="35"/>
      <c r="X7" s="94"/>
      <c r="Y7" s="86"/>
      <c r="Z7" s="86"/>
      <c r="AA7" s="86"/>
      <c r="AB7" s="86"/>
      <c r="AC7" s="86"/>
      <c r="AD7" s="86"/>
      <c r="AE7" s="86"/>
      <c r="AF7" s="86"/>
      <c r="AG7" s="86"/>
      <c r="AH7" s="86"/>
      <c r="AI7" s="86"/>
      <c r="AJ7" s="86"/>
      <c r="AK7" s="86"/>
      <c r="AL7" s="86"/>
      <c r="AM7" s="86"/>
      <c r="AN7" s="89"/>
    </row>
    <row r="8" spans="2:40" ht="12.75">
      <c r="B8" s="46"/>
      <c r="C8" s="83"/>
      <c r="D8" s="83"/>
      <c r="E8" s="83"/>
      <c r="F8" s="218" t="s">
        <v>137</v>
      </c>
      <c r="G8" s="219"/>
      <c r="H8" s="219"/>
      <c r="I8" s="219"/>
      <c r="J8" s="219"/>
      <c r="K8" s="220"/>
      <c r="L8" s="34"/>
      <c r="M8" s="83"/>
      <c r="N8" s="83"/>
      <c r="O8" s="83"/>
      <c r="P8" s="34"/>
      <c r="Q8" s="34"/>
      <c r="R8" s="34"/>
      <c r="S8" s="34"/>
      <c r="T8" s="34"/>
      <c r="U8" s="34"/>
      <c r="V8" s="35"/>
      <c r="X8" s="94"/>
      <c r="Y8" s="86"/>
      <c r="Z8" s="86"/>
      <c r="AA8" s="86"/>
      <c r="AB8" s="86"/>
      <c r="AC8" s="86"/>
      <c r="AD8" s="86"/>
      <c r="AE8" s="86"/>
      <c r="AF8" s="86"/>
      <c r="AG8" s="86"/>
      <c r="AH8" s="86"/>
      <c r="AI8" s="86"/>
      <c r="AJ8" s="86"/>
      <c r="AK8" s="86"/>
      <c r="AL8" s="86"/>
      <c r="AM8" s="86"/>
      <c r="AN8" s="89"/>
    </row>
    <row r="9" spans="2:40" ht="12.75">
      <c r="B9" s="46"/>
      <c r="C9" s="52"/>
      <c r="D9" s="34"/>
      <c r="E9" s="73"/>
      <c r="F9" s="34"/>
      <c r="G9" s="34"/>
      <c r="H9" s="34"/>
      <c r="I9" s="34"/>
      <c r="J9" s="34"/>
      <c r="K9" s="34"/>
      <c r="L9" s="34"/>
      <c r="M9" s="34"/>
      <c r="N9" s="34"/>
      <c r="O9" s="34"/>
      <c r="P9" s="34"/>
      <c r="Q9" s="34"/>
      <c r="R9" s="34"/>
      <c r="S9" s="34"/>
      <c r="T9" s="34"/>
      <c r="U9" s="34"/>
      <c r="V9" s="35"/>
      <c r="X9" s="94"/>
      <c r="Y9" s="86"/>
      <c r="Z9" s="86"/>
      <c r="AA9" s="86"/>
      <c r="AB9" s="86"/>
      <c r="AC9" s="86"/>
      <c r="AD9" s="86"/>
      <c r="AE9" s="86"/>
      <c r="AF9" s="86"/>
      <c r="AG9" s="86"/>
      <c r="AH9" s="86"/>
      <c r="AI9" s="86"/>
      <c r="AJ9" s="86"/>
      <c r="AK9" s="86"/>
      <c r="AL9" s="86"/>
      <c r="AM9" s="86"/>
      <c r="AN9" s="89"/>
    </row>
    <row r="10" spans="2:40" ht="12.75">
      <c r="B10" s="46"/>
      <c r="C10" s="83"/>
      <c r="D10" s="52" t="s">
        <v>46</v>
      </c>
      <c r="E10" s="34"/>
      <c r="F10" s="74"/>
      <c r="G10" s="34"/>
      <c r="H10" s="34"/>
      <c r="I10" s="34"/>
      <c r="J10" s="34"/>
      <c r="K10" s="34"/>
      <c r="L10" s="155">
        <f>L13*P13/O13/S13</f>
        <v>6321.52765208243</v>
      </c>
      <c r="M10" s="156" t="s">
        <v>181</v>
      </c>
      <c r="N10" s="34"/>
      <c r="O10" s="161" t="s">
        <v>176</v>
      </c>
      <c r="P10" s="224" t="s">
        <v>187</v>
      </c>
      <c r="Q10" s="224"/>
      <c r="R10" s="224"/>
      <c r="S10" s="161" t="s">
        <v>188</v>
      </c>
      <c r="T10" s="34"/>
      <c r="U10" s="34"/>
      <c r="V10" s="35"/>
      <c r="X10" s="94"/>
      <c r="Y10" s="86"/>
      <c r="Z10" s="86"/>
      <c r="AA10" s="86"/>
      <c r="AB10" s="86"/>
      <c r="AC10" s="86"/>
      <c r="AD10" s="86"/>
      <c r="AE10" s="86"/>
      <c r="AF10" s="86"/>
      <c r="AG10" s="86"/>
      <c r="AH10" s="86"/>
      <c r="AI10" s="86"/>
      <c r="AJ10" s="86"/>
      <c r="AK10" s="86"/>
      <c r="AL10" s="86"/>
      <c r="AM10" s="86"/>
      <c r="AN10" s="89"/>
    </row>
    <row r="11" spans="2:40" ht="12.75">
      <c r="B11" s="46"/>
      <c r="C11" s="83"/>
      <c r="D11" s="44" t="s">
        <v>204</v>
      </c>
      <c r="E11" s="44" t="s">
        <v>205</v>
      </c>
      <c r="F11" s="44" t="s">
        <v>49</v>
      </c>
      <c r="G11" s="44" t="s">
        <v>176</v>
      </c>
      <c r="H11" s="44" t="s">
        <v>177</v>
      </c>
      <c r="I11" s="223" t="s">
        <v>178</v>
      </c>
      <c r="J11" s="223"/>
      <c r="K11" s="44" t="s">
        <v>50</v>
      </c>
      <c r="L11" s="155">
        <f>L13*R13/O13/S13</f>
        <v>0</v>
      </c>
      <c r="M11" s="156" t="s">
        <v>182</v>
      </c>
      <c r="N11" s="83"/>
      <c r="O11" s="161" t="s">
        <v>189</v>
      </c>
      <c r="P11" s="162" t="s">
        <v>190</v>
      </c>
      <c r="Q11" s="225" t="s">
        <v>191</v>
      </c>
      <c r="R11" s="225"/>
      <c r="S11" s="161" t="s">
        <v>192</v>
      </c>
      <c r="T11" s="83"/>
      <c r="U11" s="34"/>
      <c r="V11" s="35"/>
      <c r="X11" s="94"/>
      <c r="Y11" s="86"/>
      <c r="Z11" s="86"/>
      <c r="AA11" s="86"/>
      <c r="AB11" s="86"/>
      <c r="AC11" s="86"/>
      <c r="AD11" s="86"/>
      <c r="AE11" s="86"/>
      <c r="AF11" s="86"/>
      <c r="AG11" s="86"/>
      <c r="AH11" s="86"/>
      <c r="AI11" s="86"/>
      <c r="AJ11" s="86"/>
      <c r="AK11" s="86"/>
      <c r="AL11" s="86"/>
      <c r="AM11" s="86"/>
      <c r="AN11" s="89"/>
    </row>
    <row r="12" spans="2:40" ht="12.75">
      <c r="B12" s="46"/>
      <c r="C12" s="83"/>
      <c r="D12" s="44" t="s">
        <v>52</v>
      </c>
      <c r="E12" s="44" t="s">
        <v>52</v>
      </c>
      <c r="F12" s="44" t="s">
        <v>47</v>
      </c>
      <c r="G12" s="44" t="s">
        <v>179</v>
      </c>
      <c r="H12" s="44" t="s">
        <v>179</v>
      </c>
      <c r="I12" s="223" t="s">
        <v>180</v>
      </c>
      <c r="J12" s="223"/>
      <c r="K12" s="44" t="s">
        <v>51</v>
      </c>
      <c r="L12" s="155">
        <f>L13*Q13/O13/S13</f>
        <v>1198.1015402698658</v>
      </c>
      <c r="M12" s="157" t="s">
        <v>183</v>
      </c>
      <c r="N12" s="83"/>
      <c r="O12" s="162" t="s">
        <v>193</v>
      </c>
      <c r="P12" s="162" t="s">
        <v>176</v>
      </c>
      <c r="Q12" s="162" t="s">
        <v>178</v>
      </c>
      <c r="R12" s="162" t="s">
        <v>194</v>
      </c>
      <c r="S12" s="162" t="s">
        <v>53</v>
      </c>
      <c r="T12" s="83"/>
      <c r="U12" s="34"/>
      <c r="V12" s="35"/>
      <c r="X12" s="94"/>
      <c r="Y12" s="86"/>
      <c r="Z12" s="86"/>
      <c r="AA12" s="86"/>
      <c r="AB12" s="86"/>
      <c r="AC12" s="86"/>
      <c r="AD12" s="86"/>
      <c r="AE12" s="86"/>
      <c r="AF12" s="86"/>
      <c r="AG12" s="86"/>
      <c r="AH12" s="86"/>
      <c r="AI12" s="86"/>
      <c r="AJ12" s="86"/>
      <c r="AK12" s="86"/>
      <c r="AL12" s="86"/>
      <c r="AM12" s="86"/>
      <c r="AN12" s="89"/>
    </row>
    <row r="13" spans="2:40" ht="12.75">
      <c r="B13" s="46"/>
      <c r="C13" s="83"/>
      <c r="D13" s="170">
        <v>23.5</v>
      </c>
      <c r="E13" s="170">
        <v>35</v>
      </c>
      <c r="F13" s="192">
        <v>65.2</v>
      </c>
      <c r="G13" s="193">
        <v>34</v>
      </c>
      <c r="H13" s="189">
        <v>34</v>
      </c>
      <c r="I13" s="221">
        <v>100</v>
      </c>
      <c r="J13" s="222"/>
      <c r="K13" s="167">
        <f>(180/PI())*ASIN($L13/(0.238*$D13^3.5*($E13/$D13)*($F13/100)*$S13*($G13/100-1.065*$G13*$G13/10000)))</f>
        <v>25.361869722814834</v>
      </c>
      <c r="L13" s="63">
        <f>L15*(1-L14/100)</f>
        <v>7519.629192352295</v>
      </c>
      <c r="M13" s="158" t="s">
        <v>184</v>
      </c>
      <c r="N13" s="83"/>
      <c r="O13" s="163">
        <f>(G13/100)*PI()*($D$13*0.305)^2*($E$13*0.305)/4</f>
        <v>146.44416946550214</v>
      </c>
      <c r="P13" s="163">
        <f>(1-0.4)*R18*(H13/100)*PI()*($D$13*0.305)^2*($E$13*0.305)/4</f>
        <v>685.35871309855</v>
      </c>
      <c r="Q13" s="163">
        <f>L49*(I13/100)*0.4*(H13/100)*PI()*($D$13*0.305)^2*($E$13*0.305)/4</f>
        <v>129.89412923476658</v>
      </c>
      <c r="R13" s="163">
        <f>L49*(G13/100-H13/100)*PI()*($D$13*0.305)^2*($E$13*0.305)/4</f>
        <v>0</v>
      </c>
      <c r="S13" s="164">
        <f>(P13+R13+Q13)/O13</f>
        <v>5.566987373473859</v>
      </c>
      <c r="T13" s="83"/>
      <c r="U13" s="34"/>
      <c r="V13" s="35"/>
      <c r="X13" s="94"/>
      <c r="Y13" s="86"/>
      <c r="Z13" s="211" t="s">
        <v>150</v>
      </c>
      <c r="AA13" s="212"/>
      <c r="AB13" s="212"/>
      <c r="AC13" s="212"/>
      <c r="AD13" s="212"/>
      <c r="AE13" s="212"/>
      <c r="AF13" s="212"/>
      <c r="AG13" s="212"/>
      <c r="AH13" s="212"/>
      <c r="AI13" s="212"/>
      <c r="AJ13" s="212"/>
      <c r="AK13" s="212"/>
      <c r="AL13" s="212"/>
      <c r="AM13" s="213"/>
      <c r="AN13" s="89"/>
    </row>
    <row r="14" spans="2:40" ht="12.75">
      <c r="B14" s="46"/>
      <c r="C14" s="34"/>
      <c r="D14" s="34"/>
      <c r="E14" s="44" t="s">
        <v>202</v>
      </c>
      <c r="F14" s="166">
        <f>(76.6/D13^0.5)*(F13/100)</f>
        <v>10.302495517230433</v>
      </c>
      <c r="G14" s="34"/>
      <c r="H14" s="34"/>
      <c r="I14" s="34"/>
      <c r="J14" s="34"/>
      <c r="K14" s="34"/>
      <c r="L14" s="187">
        <v>10</v>
      </c>
      <c r="M14" s="159" t="s">
        <v>185</v>
      </c>
      <c r="N14" s="34"/>
      <c r="O14" s="34"/>
      <c r="P14" s="34"/>
      <c r="Q14" s="34"/>
      <c r="R14" s="34"/>
      <c r="S14" s="34"/>
      <c r="T14" s="34"/>
      <c r="U14" s="34"/>
      <c r="V14" s="35"/>
      <c r="X14" s="94"/>
      <c r="Y14" s="86"/>
      <c r="Z14" s="86"/>
      <c r="AA14" s="86"/>
      <c r="AB14" s="86"/>
      <c r="AC14" s="86"/>
      <c r="AD14" s="86"/>
      <c r="AE14" s="86"/>
      <c r="AF14" s="86"/>
      <c r="AG14" s="86"/>
      <c r="AH14" s="86"/>
      <c r="AI14" s="86"/>
      <c r="AJ14" s="86"/>
      <c r="AK14" s="86"/>
      <c r="AL14" s="86"/>
      <c r="AM14" s="86"/>
      <c r="AN14" s="89"/>
    </row>
    <row r="15" spans="2:40" ht="12.75">
      <c r="B15" s="46"/>
      <c r="C15" s="83"/>
      <c r="D15" s="83"/>
      <c r="E15" s="83"/>
      <c r="F15" s="83"/>
      <c r="G15" s="83"/>
      <c r="H15" s="83"/>
      <c r="I15" s="83"/>
      <c r="J15" s="83"/>
      <c r="K15" s="34"/>
      <c r="L15" s="199">
        <v>8355.143547058105</v>
      </c>
      <c r="M15" s="160" t="s">
        <v>186</v>
      </c>
      <c r="N15" s="83"/>
      <c r="O15" s="52" t="s">
        <v>174</v>
      </c>
      <c r="P15" s="34"/>
      <c r="Q15" s="34"/>
      <c r="R15" s="170">
        <v>1668.2</v>
      </c>
      <c r="S15" s="34"/>
      <c r="T15" s="34"/>
      <c r="U15" s="34"/>
      <c r="V15" s="35"/>
      <c r="X15" s="94"/>
      <c r="Y15" s="86"/>
      <c r="Z15" s="86"/>
      <c r="AA15" s="86"/>
      <c r="AB15" s="86"/>
      <c r="AC15" s="86"/>
      <c r="AD15" s="86"/>
      <c r="AE15" s="86"/>
      <c r="AF15" s="86"/>
      <c r="AG15" s="86"/>
      <c r="AH15" s="86"/>
      <c r="AI15" s="86"/>
      <c r="AJ15" s="86"/>
      <c r="AK15" s="86"/>
      <c r="AL15" s="86"/>
      <c r="AM15" s="86"/>
      <c r="AN15" s="89"/>
    </row>
    <row r="16" spans="2:40" ht="12.75">
      <c r="B16" s="46"/>
      <c r="C16" s="83"/>
      <c r="D16" s="52" t="s">
        <v>149</v>
      </c>
      <c r="E16" s="34"/>
      <c r="F16" s="74"/>
      <c r="G16" s="34"/>
      <c r="H16" s="34"/>
      <c r="I16" s="34"/>
      <c r="J16" s="34"/>
      <c r="K16" s="34"/>
      <c r="L16" s="34"/>
      <c r="M16" s="34"/>
      <c r="N16" s="83"/>
      <c r="O16" s="52"/>
      <c r="P16" s="34"/>
      <c r="Q16" s="34"/>
      <c r="R16" s="165"/>
      <c r="S16" s="34"/>
      <c r="T16" s="34"/>
      <c r="U16" s="34"/>
      <c r="V16" s="35"/>
      <c r="X16" s="94"/>
      <c r="Y16" s="86"/>
      <c r="Z16" s="86"/>
      <c r="AA16" s="86"/>
      <c r="AB16" s="86"/>
      <c r="AC16" s="86"/>
      <c r="AD16" s="86"/>
      <c r="AE16" s="86"/>
      <c r="AF16" s="86"/>
      <c r="AG16" s="86"/>
      <c r="AH16" s="86"/>
      <c r="AI16" s="86"/>
      <c r="AJ16" s="86"/>
      <c r="AK16" s="86"/>
      <c r="AL16" s="86"/>
      <c r="AM16" s="86"/>
      <c r="AN16" s="89"/>
    </row>
    <row r="17" spans="2:40" ht="12.75">
      <c r="B17" s="46"/>
      <c r="C17" s="83"/>
      <c r="D17" s="44" t="s">
        <v>54</v>
      </c>
      <c r="E17" s="44" t="s">
        <v>48</v>
      </c>
      <c r="F17" s="44" t="s">
        <v>66</v>
      </c>
      <c r="G17" s="44" t="s">
        <v>62</v>
      </c>
      <c r="H17" s="44" t="s">
        <v>63</v>
      </c>
      <c r="I17" s="44" t="s">
        <v>64</v>
      </c>
      <c r="J17" s="44" t="s">
        <v>111</v>
      </c>
      <c r="K17" s="34"/>
      <c r="L17" s="34"/>
      <c r="M17" s="34"/>
      <c r="N17" s="83"/>
      <c r="O17" s="52" t="s">
        <v>59</v>
      </c>
      <c r="P17" s="34"/>
      <c r="Q17" s="34"/>
      <c r="R17" s="190">
        <v>3.4</v>
      </c>
      <c r="S17" s="34"/>
      <c r="T17" s="34"/>
      <c r="U17" s="34"/>
      <c r="V17" s="35"/>
      <c r="X17" s="94"/>
      <c r="Y17" s="86"/>
      <c r="Z17" s="86"/>
      <c r="AA17" s="86"/>
      <c r="AB17" s="86"/>
      <c r="AC17" s="86"/>
      <c r="AD17" s="86"/>
      <c r="AE17" s="86"/>
      <c r="AF17" s="86"/>
      <c r="AG17" s="86"/>
      <c r="AH17" s="86"/>
      <c r="AI17" s="86"/>
      <c r="AJ17" s="86"/>
      <c r="AK17" s="86"/>
      <c r="AL17" s="86"/>
      <c r="AM17" s="86"/>
      <c r="AN17" s="89"/>
    </row>
    <row r="18" spans="2:40" ht="12.75">
      <c r="B18" s="46"/>
      <c r="C18" s="83"/>
      <c r="D18" s="194">
        <v>11</v>
      </c>
      <c r="E18" s="192">
        <v>26</v>
      </c>
      <c r="F18" s="192">
        <v>90</v>
      </c>
      <c r="G18" s="172">
        <v>9.8</v>
      </c>
      <c r="H18" s="172">
        <v>8</v>
      </c>
      <c r="I18" s="172">
        <v>5.25</v>
      </c>
      <c r="J18" s="172">
        <v>9.6</v>
      </c>
      <c r="K18" s="34"/>
      <c r="L18" s="34"/>
      <c r="M18" s="34"/>
      <c r="N18" s="83"/>
      <c r="O18" s="52" t="s">
        <v>175</v>
      </c>
      <c r="P18" s="34"/>
      <c r="Q18" s="34"/>
      <c r="R18" s="190">
        <v>7.8</v>
      </c>
      <c r="S18" s="34"/>
      <c r="T18" s="34"/>
      <c r="U18" s="34"/>
      <c r="V18" s="35"/>
      <c r="X18" s="94"/>
      <c r="Y18" s="86"/>
      <c r="Z18" s="86"/>
      <c r="AA18" s="86"/>
      <c r="AB18" s="86"/>
      <c r="AC18" s="86"/>
      <c r="AD18" s="86"/>
      <c r="AE18" s="86"/>
      <c r="AF18" s="86"/>
      <c r="AG18" s="86"/>
      <c r="AH18" s="86"/>
      <c r="AI18" s="86"/>
      <c r="AJ18" s="86"/>
      <c r="AK18" s="86"/>
      <c r="AL18" s="86"/>
      <c r="AM18" s="86"/>
      <c r="AN18" s="89"/>
    </row>
    <row r="19" spans="2:40" ht="12.75">
      <c r="B19" s="46"/>
      <c r="C19" s="83"/>
      <c r="D19" s="83"/>
      <c r="E19" s="182" t="s">
        <v>211</v>
      </c>
      <c r="F19" s="184">
        <f>3*$E$18</f>
        <v>78</v>
      </c>
      <c r="G19" s="184">
        <f>0.25*$E$18</f>
        <v>6.5</v>
      </c>
      <c r="H19" s="184">
        <f>0.35*$E$18</f>
        <v>9.1</v>
      </c>
      <c r="I19" s="184">
        <f>0.5*$H$19</f>
        <v>4.55</v>
      </c>
      <c r="J19" s="83"/>
      <c r="K19" s="83"/>
      <c r="L19" s="83"/>
      <c r="M19" s="83"/>
      <c r="N19" s="83"/>
      <c r="O19" s="83"/>
      <c r="P19" s="83"/>
      <c r="Q19" s="83"/>
      <c r="R19" s="83"/>
      <c r="S19" s="83"/>
      <c r="T19" s="34"/>
      <c r="U19" s="34"/>
      <c r="V19" s="35"/>
      <c r="X19" s="94"/>
      <c r="Y19" s="86"/>
      <c r="Z19" s="86"/>
      <c r="AA19" s="86"/>
      <c r="AB19" s="86"/>
      <c r="AC19" s="86"/>
      <c r="AD19" s="86"/>
      <c r="AE19" s="86"/>
      <c r="AF19" s="86"/>
      <c r="AG19" s="86"/>
      <c r="AH19" s="86"/>
      <c r="AI19" s="86"/>
      <c r="AJ19" s="86"/>
      <c r="AK19" s="86"/>
      <c r="AL19" s="86"/>
      <c r="AM19" s="86"/>
      <c r="AN19" s="89"/>
    </row>
    <row r="20" spans="2:40" ht="13.5" thickBot="1">
      <c r="B20" s="46"/>
      <c r="C20" s="52"/>
      <c r="D20" s="34"/>
      <c r="E20" s="34"/>
      <c r="F20" s="34"/>
      <c r="G20" s="34"/>
      <c r="H20" s="34"/>
      <c r="I20" s="34"/>
      <c r="J20" s="34"/>
      <c r="K20" s="34"/>
      <c r="L20" s="34"/>
      <c r="M20" s="34"/>
      <c r="N20" s="34"/>
      <c r="O20" s="34"/>
      <c r="P20" s="34"/>
      <c r="Q20" s="34"/>
      <c r="R20" s="34"/>
      <c r="S20" s="34"/>
      <c r="T20" s="34"/>
      <c r="U20" s="34"/>
      <c r="V20" s="35"/>
      <c r="X20" s="94"/>
      <c r="Y20" s="86"/>
      <c r="Z20" s="86"/>
      <c r="AA20" s="86"/>
      <c r="AB20" s="86"/>
      <c r="AC20" s="86"/>
      <c r="AD20" s="86"/>
      <c r="AE20" s="86"/>
      <c r="AF20" s="86"/>
      <c r="AG20" s="86"/>
      <c r="AH20" s="86"/>
      <c r="AI20" s="86"/>
      <c r="AJ20" s="86"/>
      <c r="AK20" s="86"/>
      <c r="AL20" s="86"/>
      <c r="AM20" s="86"/>
      <c r="AN20" s="89"/>
    </row>
    <row r="21" spans="2:40" ht="17.25" thickBot="1" thickTop="1">
      <c r="B21" s="46"/>
      <c r="C21" s="75"/>
      <c r="D21" s="75"/>
      <c r="E21" s="76"/>
      <c r="F21" s="34"/>
      <c r="G21" s="208" t="s">
        <v>148</v>
      </c>
      <c r="H21" s="209"/>
      <c r="I21" s="209"/>
      <c r="J21" s="209"/>
      <c r="K21" s="209"/>
      <c r="L21" s="209"/>
      <c r="M21" s="209"/>
      <c r="N21" s="209"/>
      <c r="O21" s="209"/>
      <c r="P21" s="209"/>
      <c r="Q21" s="209"/>
      <c r="R21" s="209"/>
      <c r="S21" s="209"/>
      <c r="T21" s="209"/>
      <c r="U21" s="210"/>
      <c r="V21" s="35"/>
      <c r="X21" s="94"/>
      <c r="Y21" s="86"/>
      <c r="Z21" s="86"/>
      <c r="AA21" s="86"/>
      <c r="AB21" s="86"/>
      <c r="AC21" s="86"/>
      <c r="AD21" s="86"/>
      <c r="AE21" s="86"/>
      <c r="AF21" s="86"/>
      <c r="AG21" s="86"/>
      <c r="AH21" s="86"/>
      <c r="AI21" s="86"/>
      <c r="AJ21" s="86"/>
      <c r="AK21" s="86"/>
      <c r="AL21" s="86"/>
      <c r="AM21" s="86"/>
      <c r="AN21" s="89"/>
    </row>
    <row r="22" spans="2:40" ht="13.5" thickTop="1">
      <c r="B22" s="46"/>
      <c r="C22" s="34"/>
      <c r="D22" s="34"/>
      <c r="E22" s="34"/>
      <c r="F22" s="120"/>
      <c r="G22" s="207" t="s">
        <v>103</v>
      </c>
      <c r="H22" s="207"/>
      <c r="I22" s="207"/>
      <c r="J22" s="207" t="s">
        <v>127</v>
      </c>
      <c r="K22" s="207"/>
      <c r="L22" s="207"/>
      <c r="M22" s="207" t="s">
        <v>128</v>
      </c>
      <c r="N22" s="207"/>
      <c r="O22" s="207"/>
      <c r="P22" s="207" t="s">
        <v>118</v>
      </c>
      <c r="Q22" s="207"/>
      <c r="R22" s="207"/>
      <c r="S22" s="207" t="s">
        <v>119</v>
      </c>
      <c r="T22" s="207"/>
      <c r="U22" s="207"/>
      <c r="V22" s="105"/>
      <c r="X22" s="94"/>
      <c r="Y22" s="86"/>
      <c r="Z22" s="90" t="s">
        <v>107</v>
      </c>
      <c r="AA22" s="90" t="s">
        <v>109</v>
      </c>
      <c r="AB22" s="204" t="s">
        <v>108</v>
      </c>
      <c r="AC22" s="205"/>
      <c r="AD22" s="206"/>
      <c r="AE22" s="86"/>
      <c r="AF22" s="204" t="s">
        <v>120</v>
      </c>
      <c r="AG22" s="205"/>
      <c r="AH22" s="206"/>
      <c r="AI22" s="86"/>
      <c r="AJ22" s="204" t="s">
        <v>131</v>
      </c>
      <c r="AK22" s="205"/>
      <c r="AL22" s="206"/>
      <c r="AM22" s="94"/>
      <c r="AN22" s="89"/>
    </row>
    <row r="23" spans="2:40" ht="12.75">
      <c r="B23" s="46"/>
      <c r="C23" s="44" t="s">
        <v>2</v>
      </c>
      <c r="D23" s="44" t="s">
        <v>0</v>
      </c>
      <c r="E23" s="44" t="s">
        <v>1</v>
      </c>
      <c r="F23" s="119" t="s">
        <v>3</v>
      </c>
      <c r="G23" s="44" t="s">
        <v>57</v>
      </c>
      <c r="H23" s="44" t="s">
        <v>55</v>
      </c>
      <c r="I23" s="119" t="s">
        <v>56</v>
      </c>
      <c r="J23" s="43" t="s">
        <v>57</v>
      </c>
      <c r="K23" s="44" t="s">
        <v>55</v>
      </c>
      <c r="L23" s="119" t="s">
        <v>56</v>
      </c>
      <c r="M23" s="43" t="s">
        <v>57</v>
      </c>
      <c r="N23" s="44" t="s">
        <v>55</v>
      </c>
      <c r="O23" s="119" t="s">
        <v>56</v>
      </c>
      <c r="P23" s="43" t="s">
        <v>57</v>
      </c>
      <c r="Q23" s="44" t="s">
        <v>55</v>
      </c>
      <c r="R23" s="119" t="s">
        <v>56</v>
      </c>
      <c r="S23" s="43" t="s">
        <v>57</v>
      </c>
      <c r="T23" s="44" t="s">
        <v>55</v>
      </c>
      <c r="U23" s="119" t="s">
        <v>56</v>
      </c>
      <c r="V23" s="45"/>
      <c r="X23" s="94"/>
      <c r="Y23" s="86"/>
      <c r="Z23" s="90" t="s">
        <v>105</v>
      </c>
      <c r="AA23" s="90"/>
      <c r="AB23" s="91" t="s">
        <v>57</v>
      </c>
      <c r="AC23" s="90" t="s">
        <v>55</v>
      </c>
      <c r="AD23" s="92" t="s">
        <v>56</v>
      </c>
      <c r="AE23" s="93" t="s">
        <v>110</v>
      </c>
      <c r="AF23" s="91" t="s">
        <v>57</v>
      </c>
      <c r="AG23" s="90" t="s">
        <v>55</v>
      </c>
      <c r="AH23" s="92" t="s">
        <v>56</v>
      </c>
      <c r="AI23" s="93" t="s">
        <v>110</v>
      </c>
      <c r="AJ23" s="91" t="s">
        <v>57</v>
      </c>
      <c r="AK23" s="90" t="s">
        <v>55</v>
      </c>
      <c r="AL23" s="92" t="s">
        <v>56</v>
      </c>
      <c r="AM23" s="141" t="s">
        <v>110</v>
      </c>
      <c r="AN23" s="89"/>
    </row>
    <row r="24" spans="2:40" ht="12.75">
      <c r="B24" s="46"/>
      <c r="C24" s="34"/>
      <c r="D24" s="34"/>
      <c r="E24" s="34"/>
      <c r="F24" s="120"/>
      <c r="G24" s="34"/>
      <c r="H24" s="34"/>
      <c r="I24" s="120"/>
      <c r="J24" s="46"/>
      <c r="K24" s="34"/>
      <c r="L24" s="120"/>
      <c r="M24" s="46"/>
      <c r="N24" s="34"/>
      <c r="O24" s="120"/>
      <c r="P24" s="46"/>
      <c r="Q24" s="34"/>
      <c r="R24" s="120"/>
      <c r="S24" s="46"/>
      <c r="T24" s="34"/>
      <c r="U24" s="120"/>
      <c r="V24" s="35"/>
      <c r="X24" s="94"/>
      <c r="Y24" s="86"/>
      <c r="Z24" s="86"/>
      <c r="AA24" s="86"/>
      <c r="AB24" s="94"/>
      <c r="AC24" s="86"/>
      <c r="AD24" s="95"/>
      <c r="AE24" s="95"/>
      <c r="AF24" s="94"/>
      <c r="AG24" s="86"/>
      <c r="AH24" s="95"/>
      <c r="AI24" s="96"/>
      <c r="AJ24" s="94"/>
      <c r="AK24" s="86"/>
      <c r="AL24" s="95"/>
      <c r="AM24" s="99"/>
      <c r="AN24" s="89"/>
    </row>
    <row r="25" spans="2:40" ht="12.75">
      <c r="B25" s="46"/>
      <c r="C25" s="191">
        <v>1</v>
      </c>
      <c r="D25" s="195" t="s">
        <v>216</v>
      </c>
      <c r="E25" s="194">
        <v>19050</v>
      </c>
      <c r="F25" s="126"/>
      <c r="G25" s="58"/>
      <c r="H25" s="61"/>
      <c r="I25" s="125">
        <v>100</v>
      </c>
      <c r="J25" s="59"/>
      <c r="K25" s="61"/>
      <c r="L25" s="125">
        <v>100</v>
      </c>
      <c r="M25" s="59"/>
      <c r="N25" s="58"/>
      <c r="O25" s="146">
        <f aca="true" t="shared" si="0" ref="O25:O44">(I25+$Z$50*L25)/(1+$Z$50)</f>
        <v>100</v>
      </c>
      <c r="P25" s="59"/>
      <c r="Q25" s="61"/>
      <c r="R25" s="125">
        <v>100</v>
      </c>
      <c r="S25" s="59"/>
      <c r="T25" s="61"/>
      <c r="U25" s="125">
        <v>100</v>
      </c>
      <c r="V25" s="35"/>
      <c r="X25" s="94"/>
      <c r="Y25" s="86"/>
      <c r="Z25" s="98" t="str">
        <f>IF((L25-R25)&gt;3,(U25-I25)/(L25-R25)," ")</f>
        <v> </v>
      </c>
      <c r="AA25" s="97"/>
      <c r="AB25" s="99"/>
      <c r="AC25" s="97"/>
      <c r="AD25" s="60">
        <f aca="true" t="shared" si="1" ref="AD25:AD43">AD26+AC26</f>
        <v>100</v>
      </c>
      <c r="AE25" s="77">
        <f>AD25-O25</f>
        <v>0</v>
      </c>
      <c r="AF25" s="99"/>
      <c r="AG25" s="97"/>
      <c r="AH25" s="60">
        <f>AH26+AG26</f>
        <v>100</v>
      </c>
      <c r="AI25" s="77">
        <f aca="true" t="shared" si="2" ref="AI25:AI44">AH25-U25</f>
        <v>0</v>
      </c>
      <c r="AJ25" s="99"/>
      <c r="AK25" s="97"/>
      <c r="AL25" s="60">
        <f>AL26+AK26</f>
        <v>100</v>
      </c>
      <c r="AM25" s="140">
        <f>AL25-R25</f>
        <v>0</v>
      </c>
      <c r="AN25" s="89"/>
    </row>
    <row r="26" spans="2:40" ht="12.75">
      <c r="B26" s="46"/>
      <c r="C26" s="191">
        <f aca="true" t="shared" si="3" ref="C26:C44">C25+1</f>
        <v>2</v>
      </c>
      <c r="D26" s="195" t="s">
        <v>217</v>
      </c>
      <c r="E26" s="194">
        <v>12700</v>
      </c>
      <c r="F26" s="127">
        <f aca="true" t="shared" si="4" ref="F26:F44">(E25*E26)^0.5</f>
        <v>15554.259866673181</v>
      </c>
      <c r="G26" s="129">
        <f>(H26/100)*$R$15</f>
        <v>25.260271334792037</v>
      </c>
      <c r="H26" s="130">
        <f aca="true" t="shared" si="5" ref="H26:H45">I25-I26</f>
        <v>1.5142231947483538</v>
      </c>
      <c r="I26" s="197">
        <v>98.48577680525165</v>
      </c>
      <c r="J26" s="129">
        <f>(K26/100)*$R$15*$Z$50</f>
        <v>0</v>
      </c>
      <c r="K26" s="130">
        <f aca="true" t="shared" si="6" ref="K26:K45">L25-L26</f>
        <v>0</v>
      </c>
      <c r="L26" s="197">
        <v>100</v>
      </c>
      <c r="M26" s="129">
        <f>(N26/100)*$R$15*(1+$Z$50)</f>
        <v>25.260271334792904</v>
      </c>
      <c r="N26" s="130">
        <f aca="true" t="shared" si="7" ref="N26:N45">O25-O26</f>
        <v>0.2864491612149749</v>
      </c>
      <c r="O26" s="147">
        <f t="shared" si="0"/>
        <v>99.71355083878503</v>
      </c>
      <c r="P26" s="129">
        <f>(Q26/100)*$R$15*$Z$50</f>
        <v>60.35972852610504</v>
      </c>
      <c r="Q26" s="130">
        <f aca="true" t="shared" si="8" ref="Q26:Q45">R25-R26</f>
        <v>0.8441668073611339</v>
      </c>
      <c r="R26" s="197">
        <v>99.15583319263887</v>
      </c>
      <c r="S26" s="129">
        <f>(T26/100)*$R$15</f>
        <v>0</v>
      </c>
      <c r="T26" s="130">
        <f aca="true" t="shared" si="9" ref="T26:T45">U25-U26</f>
        <v>0</v>
      </c>
      <c r="U26" s="198">
        <v>100</v>
      </c>
      <c r="V26" s="35"/>
      <c r="X26" s="94"/>
      <c r="Y26" s="86"/>
      <c r="Z26" s="57" t="str">
        <f>IF((L26-R26)&gt;5,(U26-I26)/(L26-R26)," ")</f>
        <v> </v>
      </c>
      <c r="AA26" s="78">
        <f aca="true" t="shared" si="10" ref="AA26:AA45">((1+$Z$50)*N26-$Z$50*Q26-T26)/((1+$Z$50)^2/2/$O$50+$Z$50^2/2/$R$50+1/2/$U$50)</f>
        <v>-0.08893695311275628</v>
      </c>
      <c r="AB26" s="28">
        <f>(AC26/100)*$R$15*(1+$Z$50)</f>
        <v>45.98959091828107</v>
      </c>
      <c r="AC26" s="29">
        <f aca="true" t="shared" si="11" ref="AC26:AC45">N26-AA26*(1+$Z$50)/2/$O$50</f>
        <v>0.5215177449426809</v>
      </c>
      <c r="AD26" s="30">
        <f t="shared" si="1"/>
        <v>99.47848225505732</v>
      </c>
      <c r="AE26" s="77">
        <f aca="true" t="shared" si="12" ref="AE26:AE44">AD26-O26</f>
        <v>-0.23506858372770978</v>
      </c>
      <c r="AF26" s="28">
        <f>(AG26/100)*$R$15</f>
        <v>-0.7418231259135001</v>
      </c>
      <c r="AG26" s="29">
        <f>T26+AA26/2/$U$50</f>
        <v>-0.04446847655637814</v>
      </c>
      <c r="AH26" s="30">
        <f aca="true" t="shared" si="13" ref="AH26:AH42">AH27+AG27</f>
        <v>100.04446847655637</v>
      </c>
      <c r="AI26" s="77">
        <f t="shared" si="2"/>
        <v>0.04446847655637498</v>
      </c>
      <c r="AJ26" s="28">
        <f>(AK26/100)*$Z$50*$R$15</f>
        <v>46.73141404419456</v>
      </c>
      <c r="AK26" s="29">
        <f aca="true" t="shared" si="14" ref="AK26:AK45">Q26+AA26*$Z$50/2/$R$50</f>
        <v>0.653566700189806</v>
      </c>
      <c r="AL26" s="30">
        <f aca="true" t="shared" si="15" ref="AL26:AL42">AL27+AK27</f>
        <v>99.3464332998102</v>
      </c>
      <c r="AM26" s="140">
        <f aca="true" t="shared" si="16" ref="AM26:AM44">AL26-R26</f>
        <v>0.1906001071713348</v>
      </c>
      <c r="AN26" s="89"/>
    </row>
    <row r="27" spans="2:40" ht="12.75">
      <c r="B27" s="46"/>
      <c r="C27" s="191">
        <f t="shared" si="3"/>
        <v>3</v>
      </c>
      <c r="D27" s="195" t="s">
        <v>218</v>
      </c>
      <c r="E27" s="194">
        <v>9500</v>
      </c>
      <c r="F27" s="127">
        <f t="shared" si="4"/>
        <v>10984.079387914127</v>
      </c>
      <c r="G27" s="129">
        <f>(H27/100)*$R$15</f>
        <v>38.40145295404822</v>
      </c>
      <c r="H27" s="131">
        <f t="shared" si="5"/>
        <v>2.3019693654267</v>
      </c>
      <c r="I27" s="197">
        <v>96.18380743982495</v>
      </c>
      <c r="J27" s="129">
        <f>(K27/100)*$R$15*$Z$50</f>
        <v>39.01339412885627</v>
      </c>
      <c r="K27" s="131">
        <f t="shared" si="6"/>
        <v>0.5456255879586109</v>
      </c>
      <c r="L27" s="197">
        <v>99.45437441204139</v>
      </c>
      <c r="M27" s="129">
        <f>(N27/100)*$R$15*(1+$Z$50)</f>
        <v>77.41484708290272</v>
      </c>
      <c r="N27" s="131">
        <f t="shared" si="7"/>
        <v>0.877877268956297</v>
      </c>
      <c r="O27" s="147">
        <f t="shared" si="0"/>
        <v>98.83567356982873</v>
      </c>
      <c r="P27" s="129">
        <f>(Q27/100)*$R$15*$Z$50</f>
        <v>41.34641404038233</v>
      </c>
      <c r="Q27" s="131">
        <f t="shared" si="8"/>
        <v>0.5782542630423819</v>
      </c>
      <c r="R27" s="197">
        <v>98.57757892959648</v>
      </c>
      <c r="S27" s="129">
        <f>(T27/100)*$R$15</f>
        <v>0</v>
      </c>
      <c r="T27" s="131">
        <f t="shared" si="9"/>
        <v>0</v>
      </c>
      <c r="U27" s="198">
        <v>100</v>
      </c>
      <c r="V27" s="35"/>
      <c r="X27" s="94"/>
      <c r="Y27" s="86"/>
      <c r="Z27" s="57" t="str">
        <f aca="true" t="shared" si="17" ref="Z27:Z44">IF((L27-R27)&gt;5,(U27-I27)/(L27-R27)," ")</f>
        <v> </v>
      </c>
      <c r="AA27" s="78">
        <f t="shared" si="10"/>
        <v>0.09139219791544888</v>
      </c>
      <c r="AB27" s="28">
        <f>(AC27/100)*$R$15*(1+$Z$50)</f>
        <v>56.11326195186216</v>
      </c>
      <c r="AC27" s="29">
        <f t="shared" si="11"/>
        <v>0.6363192463814783</v>
      </c>
      <c r="AD27" s="30">
        <f t="shared" si="1"/>
        <v>98.84216300867584</v>
      </c>
      <c r="AE27" s="77">
        <f t="shared" si="12"/>
        <v>0.006489438847111728</v>
      </c>
      <c r="AF27" s="28">
        <f>(AG27/100)*$R$15</f>
        <v>0.7623023228127591</v>
      </c>
      <c r="AG27" s="29">
        <f aca="true" t="shared" si="18" ref="AG27:AG45">T27+AA27/2/$U$50</f>
        <v>0.04569609895772444</v>
      </c>
      <c r="AH27" s="30">
        <f t="shared" si="13"/>
        <v>99.99877237759866</v>
      </c>
      <c r="AI27" s="77">
        <f t="shared" si="2"/>
        <v>-0.0012276224013447745</v>
      </c>
      <c r="AJ27" s="28">
        <f>(AK27/100)*$Z$50*$R$15</f>
        <v>55.3509596290494</v>
      </c>
      <c r="AK27" s="29">
        <f t="shared" si="14"/>
        <v>0.7741161866594762</v>
      </c>
      <c r="AL27" s="30">
        <f t="shared" si="15"/>
        <v>98.57231711315073</v>
      </c>
      <c r="AM27" s="140">
        <f t="shared" si="16"/>
        <v>-0.005261816445752743</v>
      </c>
      <c r="AN27" s="89"/>
    </row>
    <row r="28" spans="2:40" ht="12.75">
      <c r="B28" s="46"/>
      <c r="C28" s="191">
        <f t="shared" si="3"/>
        <v>4</v>
      </c>
      <c r="D28" s="195" t="s">
        <v>219</v>
      </c>
      <c r="E28" s="194">
        <v>6350</v>
      </c>
      <c r="F28" s="127">
        <f t="shared" si="4"/>
        <v>7766.917020285462</v>
      </c>
      <c r="G28" s="129">
        <f>(H28/100)*$R$15</f>
        <v>72.64153172866516</v>
      </c>
      <c r="H28" s="131">
        <f t="shared" si="5"/>
        <v>4.354485776805248</v>
      </c>
      <c r="I28" s="197">
        <v>91.8293216630197</v>
      </c>
      <c r="J28" s="129">
        <f>(K28/100)*$R$15*$Z$50</f>
        <v>41.36765067111395</v>
      </c>
      <c r="K28" s="131">
        <f t="shared" si="6"/>
        <v>0.5785512699905837</v>
      </c>
      <c r="L28" s="197">
        <v>98.8758231420508</v>
      </c>
      <c r="M28" s="129">
        <f>(N28/100)*$R$15*(1+$Z$50)</f>
        <v>114.00918239978175</v>
      </c>
      <c r="N28" s="131">
        <f t="shared" si="7"/>
        <v>1.292853676684004</v>
      </c>
      <c r="O28" s="147">
        <f t="shared" si="0"/>
        <v>97.54281989314472</v>
      </c>
      <c r="P28" s="129">
        <f>(Q28/100)*$R$15*$Z$50</f>
        <v>57.945339385060684</v>
      </c>
      <c r="Q28" s="131">
        <f t="shared" si="8"/>
        <v>0.8104001350666863</v>
      </c>
      <c r="R28" s="197">
        <v>97.7671787945298</v>
      </c>
      <c r="S28" s="129">
        <f>(T28/100)*$R$15</f>
        <v>0</v>
      </c>
      <c r="T28" s="131">
        <f t="shared" si="9"/>
        <v>0</v>
      </c>
      <c r="U28" s="198">
        <v>100</v>
      </c>
      <c r="V28" s="35"/>
      <c r="X28" s="94"/>
      <c r="Y28" s="86"/>
      <c r="Z28" s="57" t="str">
        <f t="shared" si="17"/>
        <v> </v>
      </c>
      <c r="AA28" s="78">
        <f t="shared" si="10"/>
        <v>0.14205767771119127</v>
      </c>
      <c r="AB28" s="28">
        <f>(AC28/100)*$R$15*(1+$Z$50)</f>
        <v>80.89854730943841</v>
      </c>
      <c r="AC28" s="29">
        <f t="shared" si="11"/>
        <v>0.9173821101588964</v>
      </c>
      <c r="AD28" s="30">
        <f t="shared" si="1"/>
        <v>97.92478089851694</v>
      </c>
      <c r="AE28" s="77">
        <f t="shared" si="12"/>
        <v>0.38196100537221866</v>
      </c>
      <c r="AF28" s="28">
        <f>(AG28/100)*$R$15</f>
        <v>1.1849030897890462</v>
      </c>
      <c r="AG28" s="29">
        <f t="shared" si="18"/>
        <v>0.07102883885559563</v>
      </c>
      <c r="AH28" s="30">
        <f t="shared" si="13"/>
        <v>99.92774353874306</v>
      </c>
      <c r="AI28" s="77">
        <f t="shared" si="2"/>
        <v>-0.0722564612569414</v>
      </c>
      <c r="AJ28" s="28">
        <f>(AK28/100)*$Z$50*$R$15</f>
        <v>79.71364421964938</v>
      </c>
      <c r="AK28" s="29">
        <f t="shared" si="14"/>
        <v>1.1148428627361984</v>
      </c>
      <c r="AL28" s="30">
        <f t="shared" si="15"/>
        <v>97.45747425041453</v>
      </c>
      <c r="AM28" s="140">
        <f t="shared" si="16"/>
        <v>-0.30970454411526305</v>
      </c>
      <c r="AN28" s="89"/>
    </row>
    <row r="29" spans="2:40" ht="12.75">
      <c r="B29" s="46"/>
      <c r="C29" s="191">
        <f t="shared" si="3"/>
        <v>5</v>
      </c>
      <c r="D29" s="194">
        <v>4</v>
      </c>
      <c r="E29" s="194">
        <v>4750</v>
      </c>
      <c r="F29" s="127">
        <f t="shared" si="4"/>
        <v>5492.039693957064</v>
      </c>
      <c r="G29" s="129">
        <f>(H29/100)*$R$15</f>
        <v>51.907667396061406</v>
      </c>
      <c r="H29" s="131">
        <f t="shared" si="5"/>
        <v>3.111597374179439</v>
      </c>
      <c r="I29" s="197">
        <v>88.71772428884026</v>
      </c>
      <c r="J29" s="129">
        <f>(K29/100)*$R$15*$Z$50</f>
        <v>21.18830888032728</v>
      </c>
      <c r="K29" s="131">
        <f t="shared" si="6"/>
        <v>0.2963311382878686</v>
      </c>
      <c r="L29" s="197">
        <v>98.57949200376294</v>
      </c>
      <c r="M29" s="129">
        <f>(N29/100)*$R$15*(1+$Z$50)</f>
        <v>73.09597627638612</v>
      </c>
      <c r="N29" s="131">
        <f t="shared" si="7"/>
        <v>0.828901669940521</v>
      </c>
      <c r="O29" s="147">
        <f t="shared" si="0"/>
        <v>96.7139182232042</v>
      </c>
      <c r="P29" s="129">
        <f>(Q29/100)*$R$15*$Z$50</f>
        <v>49.49497739140591</v>
      </c>
      <c r="Q29" s="131">
        <f t="shared" si="8"/>
        <v>0.6922167820361267</v>
      </c>
      <c r="R29" s="197">
        <v>97.07496201249367</v>
      </c>
      <c r="S29" s="129">
        <f>(T29/100)*$R$15</f>
        <v>0</v>
      </c>
      <c r="T29" s="131">
        <f t="shared" si="9"/>
        <v>0</v>
      </c>
      <c r="U29" s="198">
        <v>100</v>
      </c>
      <c r="V29" s="35"/>
      <c r="X29" s="94"/>
      <c r="Y29" s="86"/>
      <c r="Z29" s="57" t="str">
        <f t="shared" si="17"/>
        <v> </v>
      </c>
      <c r="AA29" s="78">
        <f t="shared" si="10"/>
        <v>0.05980152114053904</v>
      </c>
      <c r="AB29" s="28">
        <f>(AC29/100)*$R$15*(1+$Z$50)</f>
        <v>59.15750863257885</v>
      </c>
      <c r="AC29" s="29">
        <f t="shared" si="11"/>
        <v>0.6708407246611541</v>
      </c>
      <c r="AD29" s="30">
        <f t="shared" si="1"/>
        <v>97.2539401738558</v>
      </c>
      <c r="AE29" s="77">
        <f t="shared" si="12"/>
        <v>0.5400219506515924</v>
      </c>
      <c r="AF29" s="28">
        <f>(AG29/100)*$R$15</f>
        <v>0.49880448783323617</v>
      </c>
      <c r="AG29" s="29">
        <f t="shared" si="18"/>
        <v>0.02990076057026952</v>
      </c>
      <c r="AH29" s="30">
        <f t="shared" si="13"/>
        <v>99.89784277817279</v>
      </c>
      <c r="AI29" s="77">
        <f t="shared" si="2"/>
        <v>-0.10215722182721265</v>
      </c>
      <c r="AJ29" s="28">
        <f>(AK29/100)*$Z$50*$R$15</f>
        <v>58.65870414474561</v>
      </c>
      <c r="AK29" s="29">
        <f t="shared" si="14"/>
        <v>0.820376966745224</v>
      </c>
      <c r="AL29" s="30">
        <f t="shared" si="15"/>
        <v>96.6370972836693</v>
      </c>
      <c r="AM29" s="140">
        <f t="shared" si="16"/>
        <v>-0.43786472882436556</v>
      </c>
      <c r="AN29" s="89"/>
    </row>
    <row r="30" spans="2:40" ht="12.75">
      <c r="B30" s="46"/>
      <c r="C30" s="191">
        <f t="shared" si="3"/>
        <v>6</v>
      </c>
      <c r="D30" s="194">
        <v>6</v>
      </c>
      <c r="E30" s="194">
        <v>3350</v>
      </c>
      <c r="F30" s="127">
        <f t="shared" si="4"/>
        <v>3989.047505357639</v>
      </c>
      <c r="G30" s="129">
        <f>(H30/100)*$R$15</f>
        <v>77.3139518599561</v>
      </c>
      <c r="H30" s="131">
        <f t="shared" si="5"/>
        <v>4.634573304157541</v>
      </c>
      <c r="I30" s="197">
        <v>84.08315098468272</v>
      </c>
      <c r="J30" s="129">
        <f>(K30/100)*$R$15*$Z$50</f>
        <v>43.385584850193126</v>
      </c>
      <c r="K30" s="131">
        <f t="shared" si="6"/>
        <v>0.6067732831608623</v>
      </c>
      <c r="L30" s="197">
        <v>97.97271872060207</v>
      </c>
      <c r="M30" s="129">
        <f>(N30/100)*$R$15*(1+$Z$50)</f>
        <v>120.69953671014889</v>
      </c>
      <c r="N30" s="131">
        <f t="shared" si="7"/>
        <v>1.3687216812289904</v>
      </c>
      <c r="O30" s="147">
        <f t="shared" si="0"/>
        <v>95.34519654197521</v>
      </c>
      <c r="P30" s="129">
        <f>(Q30/100)*$R$15*$Z$50</f>
        <v>91.44498871704958</v>
      </c>
      <c r="Q30" s="131">
        <f t="shared" si="8"/>
        <v>1.278912713152124</v>
      </c>
      <c r="R30" s="197">
        <v>95.79604929934155</v>
      </c>
      <c r="S30" s="129">
        <f>(T30/100)*$R$15</f>
        <v>0</v>
      </c>
      <c r="T30" s="131">
        <f t="shared" si="9"/>
        <v>0</v>
      </c>
      <c r="U30" s="198">
        <v>100</v>
      </c>
      <c r="V30" s="35"/>
      <c r="X30" s="94"/>
      <c r="Y30" s="86"/>
      <c r="Z30" s="57" t="str">
        <f t="shared" si="17"/>
        <v> </v>
      </c>
      <c r="AA30" s="78">
        <f t="shared" si="10"/>
        <v>0.07412679771700721</v>
      </c>
      <c r="AB30" s="28">
        <f>(AC30/100)*$R$15*(1+$Z$50)</f>
        <v>103.42215058665205</v>
      </c>
      <c r="AC30" s="29">
        <f t="shared" si="11"/>
        <v>1.1727977064834718</v>
      </c>
      <c r="AD30" s="30">
        <f t="shared" si="1"/>
        <v>96.08114246737232</v>
      </c>
      <c r="AE30" s="77">
        <f t="shared" si="12"/>
        <v>0.7359459253971039</v>
      </c>
      <c r="AF30" s="28">
        <f>(AG30/100)*$R$15</f>
        <v>0.6182916197575572</v>
      </c>
      <c r="AG30" s="29">
        <f t="shared" si="18"/>
        <v>0.037063398858503606</v>
      </c>
      <c r="AH30" s="30">
        <f t="shared" si="13"/>
        <v>99.86077937931428</v>
      </c>
      <c r="AI30" s="77">
        <f t="shared" si="2"/>
        <v>-0.1392206206857196</v>
      </c>
      <c r="AJ30" s="28">
        <f>(AK30/100)*$Z$50*$R$15</f>
        <v>102.80385896689448</v>
      </c>
      <c r="AK30" s="29">
        <f t="shared" si="14"/>
        <v>1.437773289039139</v>
      </c>
      <c r="AL30" s="30">
        <f t="shared" si="15"/>
        <v>95.19932399463016</v>
      </c>
      <c r="AM30" s="140">
        <f t="shared" si="16"/>
        <v>-0.5967253047113843</v>
      </c>
      <c r="AN30" s="89"/>
    </row>
    <row r="31" spans="2:40" ht="12.75">
      <c r="B31" s="46"/>
      <c r="C31" s="191">
        <f t="shared" si="3"/>
        <v>7</v>
      </c>
      <c r="D31" s="194">
        <v>8</v>
      </c>
      <c r="E31" s="194">
        <v>2360</v>
      </c>
      <c r="F31" s="127">
        <f t="shared" si="4"/>
        <v>2811.761014026619</v>
      </c>
      <c r="G31" s="129">
        <f>(H31/100)*$R$15</f>
        <v>87.31585120350108</v>
      </c>
      <c r="H31" s="131">
        <f t="shared" si="5"/>
        <v>5.23413566739606</v>
      </c>
      <c r="I31" s="197">
        <v>78.84901531728666</v>
      </c>
      <c r="J31" s="129">
        <f>(K31/100)*$R$15*$Z$50</f>
        <v>70.62769626775693</v>
      </c>
      <c r="K31" s="131">
        <f t="shared" si="6"/>
        <v>0.9877704609595526</v>
      </c>
      <c r="L31" s="197">
        <v>96.98494825964252</v>
      </c>
      <c r="M31" s="129">
        <f>(N31/100)*$R$15*(1+$Z$50)</f>
        <v>157.94354747125863</v>
      </c>
      <c r="N31" s="131">
        <f t="shared" si="7"/>
        <v>1.791065348935632</v>
      </c>
      <c r="O31" s="147">
        <f t="shared" si="0"/>
        <v>93.55413119303958</v>
      </c>
      <c r="P31" s="129">
        <f>(Q31/100)*$R$15*$Z$50</f>
        <v>132.18780547216954</v>
      </c>
      <c r="Q31" s="131">
        <f t="shared" si="8"/>
        <v>1.8487253081208763</v>
      </c>
      <c r="R31" s="197">
        <v>93.94732399122067</v>
      </c>
      <c r="S31" s="129">
        <f>(T31/100)*$R$15</f>
        <v>0</v>
      </c>
      <c r="T31" s="131">
        <f t="shared" si="9"/>
        <v>0</v>
      </c>
      <c r="U31" s="198">
        <v>100</v>
      </c>
      <c r="V31" s="35"/>
      <c r="X31" s="94"/>
      <c r="Y31" s="86"/>
      <c r="Z31" s="57" t="str">
        <f t="shared" si="17"/>
        <v> </v>
      </c>
      <c r="AA31" s="78">
        <f t="shared" si="10"/>
        <v>0.06526132885964434</v>
      </c>
      <c r="AB31" s="28">
        <f>(AC31/100)*$R$15*(1+$Z$50)</f>
        <v>142.73251431769927</v>
      </c>
      <c r="AC31" s="29">
        <f t="shared" si="11"/>
        <v>1.618573627437425</v>
      </c>
      <c r="AD31" s="30">
        <f t="shared" si="1"/>
        <v>94.46256883993489</v>
      </c>
      <c r="AE31" s="77">
        <f t="shared" si="12"/>
        <v>0.9084376468953081</v>
      </c>
      <c r="AF31" s="28">
        <f>(AG31/100)*$R$15</f>
        <v>0.5443447440182934</v>
      </c>
      <c r="AG31" s="29">
        <f t="shared" si="18"/>
        <v>0.03263066442982217</v>
      </c>
      <c r="AH31" s="30">
        <f t="shared" si="13"/>
        <v>99.82814871488446</v>
      </c>
      <c r="AI31" s="77">
        <f t="shared" si="2"/>
        <v>-0.1718512851155367</v>
      </c>
      <c r="AJ31" s="28">
        <f>(AK31/100)*$Z$50*$R$15</f>
        <v>142.188169573681</v>
      </c>
      <c r="AK31" s="29">
        <f t="shared" si="14"/>
        <v>1.9885863651892612</v>
      </c>
      <c r="AL31" s="30">
        <f t="shared" si="15"/>
        <v>93.2107376294409</v>
      </c>
      <c r="AM31" s="140">
        <f t="shared" si="16"/>
        <v>-0.7365863617797714</v>
      </c>
      <c r="AN31" s="89"/>
    </row>
    <row r="32" spans="2:40" ht="12.75">
      <c r="B32" s="46"/>
      <c r="C32" s="191">
        <f t="shared" si="3"/>
        <v>8</v>
      </c>
      <c r="D32" s="194">
        <v>10</v>
      </c>
      <c r="E32" s="194">
        <v>1700</v>
      </c>
      <c r="F32" s="127">
        <f t="shared" si="4"/>
        <v>2002.9977533686852</v>
      </c>
      <c r="G32" s="129">
        <f>(H32/100)*$R$15</f>
        <v>95.34657330415759</v>
      </c>
      <c r="H32" s="131">
        <f t="shared" si="5"/>
        <v>5.715536105032825</v>
      </c>
      <c r="I32" s="197">
        <v>73.13347921225383</v>
      </c>
      <c r="J32" s="129">
        <f>(K32/100)*$R$15*$Z$50</f>
        <v>92.82497223762277</v>
      </c>
      <c r="K32" s="131">
        <f t="shared" si="6"/>
        <v>1.2982126058325463</v>
      </c>
      <c r="L32" s="197">
        <v>95.68673565380998</v>
      </c>
      <c r="M32" s="129">
        <f>(N32/100)*$R$15*(1+$Z$50)</f>
        <v>188.17154554178202</v>
      </c>
      <c r="N32" s="131">
        <f t="shared" si="7"/>
        <v>2.133848075920156</v>
      </c>
      <c r="O32" s="147">
        <f t="shared" si="0"/>
        <v>91.42028311711942</v>
      </c>
      <c r="P32" s="129">
        <f>(Q32/100)*$R$15*$Z$50</f>
        <v>154.21910638419902</v>
      </c>
      <c r="Q32" s="131">
        <f t="shared" si="8"/>
        <v>2.1568461928077056</v>
      </c>
      <c r="R32" s="197">
        <v>91.79047779841297</v>
      </c>
      <c r="S32" s="129">
        <f>(T32/100)*$R$15</f>
        <v>0</v>
      </c>
      <c r="T32" s="131">
        <f t="shared" si="9"/>
        <v>0</v>
      </c>
      <c r="U32" s="198">
        <v>100</v>
      </c>
      <c r="V32" s="35"/>
      <c r="X32" s="94"/>
      <c r="Y32" s="86"/>
      <c r="Z32" s="57" t="str">
        <f t="shared" si="17"/>
        <v> </v>
      </c>
      <c r="AA32" s="78">
        <f t="shared" si="10"/>
        <v>0.08603057514430999</v>
      </c>
      <c r="AB32" s="28">
        <f>(AC32/100)*$R$15*(1+$Z$50)</f>
        <v>168.11964108923442</v>
      </c>
      <c r="AC32" s="29">
        <f t="shared" si="11"/>
        <v>1.9064613176756537</v>
      </c>
      <c r="AD32" s="30">
        <f t="shared" si="1"/>
        <v>92.55610752225924</v>
      </c>
      <c r="AE32" s="77">
        <f t="shared" si="12"/>
        <v>1.1358244051398145</v>
      </c>
      <c r="AF32" s="28">
        <f>(AG32/100)*$R$15</f>
        <v>0.7175810272786897</v>
      </c>
      <c r="AG32" s="29">
        <f t="shared" si="18"/>
        <v>0.043015287572154996</v>
      </c>
      <c r="AH32" s="30">
        <f t="shared" si="13"/>
        <v>99.7851334273123</v>
      </c>
      <c r="AI32" s="77">
        <f t="shared" si="2"/>
        <v>-0.21486657268769704</v>
      </c>
      <c r="AJ32" s="28">
        <f>(AK32/100)*$Z$50*$R$15</f>
        <v>167.40206006195575</v>
      </c>
      <c r="AK32" s="29">
        <f t="shared" si="14"/>
        <v>2.341217663480053</v>
      </c>
      <c r="AL32" s="30">
        <f t="shared" si="15"/>
        <v>90.86951996596085</v>
      </c>
      <c r="AM32" s="140">
        <f t="shared" si="16"/>
        <v>-0.9209578324521175</v>
      </c>
      <c r="AN32" s="89"/>
    </row>
    <row r="33" spans="2:40" ht="12.75">
      <c r="B33" s="46"/>
      <c r="C33" s="191">
        <f t="shared" si="3"/>
        <v>9</v>
      </c>
      <c r="D33" s="194">
        <v>14</v>
      </c>
      <c r="E33" s="194">
        <v>1180</v>
      </c>
      <c r="F33" s="127">
        <f t="shared" si="4"/>
        <v>1416.333294108417</v>
      </c>
      <c r="G33" s="129">
        <f>(H33/100)*$R$15</f>
        <v>112.0650765864332</v>
      </c>
      <c r="H33" s="131">
        <f t="shared" si="5"/>
        <v>6.717724288840259</v>
      </c>
      <c r="I33" s="197">
        <v>66.41575492341357</v>
      </c>
      <c r="J33" s="129">
        <f>(K33/100)*$R$15*$Z$50</f>
        <v>159.08047778404284</v>
      </c>
      <c r="K33" s="131">
        <f t="shared" si="6"/>
        <v>2.2248353715898475</v>
      </c>
      <c r="L33" s="197">
        <v>93.46190028222013</v>
      </c>
      <c r="M33" s="129">
        <f>(N33/100)*$R$15*(1+$Z$50)</f>
        <v>271.14555437047517</v>
      </c>
      <c r="N33" s="131">
        <f t="shared" si="7"/>
        <v>3.0747657294405997</v>
      </c>
      <c r="O33" s="147">
        <f t="shared" si="0"/>
        <v>88.34551738767883</v>
      </c>
      <c r="P33" s="129">
        <f>(Q33/100)*$R$15*$Z$50</f>
        <v>252.3036652391193</v>
      </c>
      <c r="Q33" s="131">
        <f t="shared" si="8"/>
        <v>3.528617254769543</v>
      </c>
      <c r="R33" s="197">
        <v>88.26186054364342</v>
      </c>
      <c r="S33" s="129">
        <f>(T33/100)*$R$15</f>
        <v>0</v>
      </c>
      <c r="T33" s="131">
        <f t="shared" si="9"/>
        <v>0</v>
      </c>
      <c r="U33" s="198">
        <v>100</v>
      </c>
      <c r="V33" s="35"/>
      <c r="X33" s="94"/>
      <c r="Y33" s="86"/>
      <c r="Z33" s="57">
        <f t="shared" si="17"/>
        <v>6.458459312808774</v>
      </c>
      <c r="AA33" s="78">
        <f t="shared" si="10"/>
        <v>0.04774262465363498</v>
      </c>
      <c r="AB33" s="28">
        <f>(AC33/100)*$R$15*(1+$Z$50)</f>
        <v>260.0177600222137</v>
      </c>
      <c r="AC33" s="29">
        <f t="shared" si="11"/>
        <v>2.9485775616657834</v>
      </c>
      <c r="AD33" s="30">
        <f t="shared" si="1"/>
        <v>89.60752996059345</v>
      </c>
      <c r="AE33" s="77">
        <f t="shared" si="12"/>
        <v>1.262012572914628</v>
      </c>
      <c r="AF33" s="28">
        <f>(AG33/100)*$R$15</f>
        <v>0.39822123223596934</v>
      </c>
      <c r="AG33" s="29">
        <f t="shared" si="18"/>
        <v>0.02387131232681749</v>
      </c>
      <c r="AH33" s="30">
        <f t="shared" si="13"/>
        <v>99.76126211498548</v>
      </c>
      <c r="AI33" s="77">
        <f t="shared" si="2"/>
        <v>-0.23873788501451543</v>
      </c>
      <c r="AJ33" s="28">
        <f>(AK33/100)*$Z$50*$R$15</f>
        <v>259.61953878997775</v>
      </c>
      <c r="AK33" s="29">
        <f t="shared" si="14"/>
        <v>3.6309341102175416</v>
      </c>
      <c r="AL33" s="30">
        <f t="shared" si="15"/>
        <v>87.23858585574331</v>
      </c>
      <c r="AM33" s="140">
        <f t="shared" si="16"/>
        <v>-1.0232746879001127</v>
      </c>
      <c r="AN33" s="89"/>
    </row>
    <row r="34" spans="2:40" ht="12.75">
      <c r="B34" s="46"/>
      <c r="C34" s="191">
        <f t="shared" si="3"/>
        <v>10</v>
      </c>
      <c r="D34" s="194">
        <v>20</v>
      </c>
      <c r="E34" s="194">
        <v>850</v>
      </c>
      <c r="F34" s="127">
        <f t="shared" si="4"/>
        <v>1001.4988766843426</v>
      </c>
      <c r="G34" s="129">
        <f>(H34/100)*$R$15</f>
        <v>105.56749234135668</v>
      </c>
      <c r="H34" s="131">
        <f t="shared" si="5"/>
        <v>6.328227571115974</v>
      </c>
      <c r="I34" s="197">
        <v>60.0875273522976</v>
      </c>
      <c r="J34" s="129">
        <f>(K34/100)*$R$15*$Z$50</f>
        <v>230.3808187781578</v>
      </c>
      <c r="K34" s="131">
        <f t="shared" si="6"/>
        <v>3.2220131702728025</v>
      </c>
      <c r="L34" s="197">
        <v>90.23988711194733</v>
      </c>
      <c r="M34" s="129">
        <f>(N34/100)*$R$15*(1+$Z$50)</f>
        <v>335.94831111951487</v>
      </c>
      <c r="N34" s="131">
        <f t="shared" si="7"/>
        <v>3.8096230502173825</v>
      </c>
      <c r="O34" s="147">
        <f t="shared" si="0"/>
        <v>84.53589433746144</v>
      </c>
      <c r="P34" s="129">
        <f>(Q34/100)*$R$15*$Z$50</f>
        <v>320.51015847361776</v>
      </c>
      <c r="Q34" s="131">
        <f t="shared" si="8"/>
        <v>4.482525747087621</v>
      </c>
      <c r="R34" s="197">
        <v>83.7793347965558</v>
      </c>
      <c r="S34" s="129">
        <f>(T34/100)*$R$15</f>
        <v>0</v>
      </c>
      <c r="T34" s="131">
        <f t="shared" si="9"/>
        <v>0</v>
      </c>
      <c r="U34" s="198">
        <v>100</v>
      </c>
      <c r="V34" s="35"/>
      <c r="X34" s="94"/>
      <c r="Y34" s="86"/>
      <c r="Z34" s="57">
        <f t="shared" si="17"/>
        <v>6.177873144470252</v>
      </c>
      <c r="AA34" s="78">
        <f t="shared" si="10"/>
        <v>0.03911804819464781</v>
      </c>
      <c r="AB34" s="28">
        <f>(AC34/100)*$R$15*(1+$Z$50)</f>
        <v>326.8307228265914</v>
      </c>
      <c r="AC34" s="29">
        <f t="shared" si="11"/>
        <v>3.706230434825557</v>
      </c>
      <c r="AD34" s="30">
        <f t="shared" si="1"/>
        <v>85.9012995257679</v>
      </c>
      <c r="AE34" s="77">
        <f t="shared" si="12"/>
        <v>1.365405188306454</v>
      </c>
      <c r="AF34" s="28">
        <f>(AG34/100)*$R$15</f>
        <v>0.3262836399915574</v>
      </c>
      <c r="AG34" s="29">
        <f t="shared" si="18"/>
        <v>0.019559024097323904</v>
      </c>
      <c r="AH34" s="30">
        <f t="shared" si="13"/>
        <v>99.74170309088817</v>
      </c>
      <c r="AI34" s="77">
        <f t="shared" si="2"/>
        <v>-0.25829690911183434</v>
      </c>
      <c r="AJ34" s="28">
        <f>(AK34/100)*$Z$50*$R$15</f>
        <v>326.50443918659994</v>
      </c>
      <c r="AK34" s="29">
        <f t="shared" si="14"/>
        <v>4.566359338382123</v>
      </c>
      <c r="AL34" s="30">
        <f t="shared" si="15"/>
        <v>82.67222651736118</v>
      </c>
      <c r="AM34" s="140">
        <f t="shared" si="16"/>
        <v>-1.1071082791946196</v>
      </c>
      <c r="AN34" s="89"/>
    </row>
    <row r="35" spans="2:40" ht="12.75">
      <c r="B35" s="46"/>
      <c r="C35" s="191">
        <f t="shared" si="3"/>
        <v>11</v>
      </c>
      <c r="D35" s="194">
        <v>28</v>
      </c>
      <c r="E35" s="194">
        <v>600</v>
      </c>
      <c r="F35" s="127">
        <f t="shared" si="4"/>
        <v>714.142842854285</v>
      </c>
      <c r="G35" s="129">
        <f>(H35/100)*$R$15</f>
        <v>162.94189129102855</v>
      </c>
      <c r="H35" s="131">
        <f t="shared" si="5"/>
        <v>9.767527352297598</v>
      </c>
      <c r="I35" s="197">
        <v>50.32</v>
      </c>
      <c r="J35" s="129">
        <f>(K35/100)*$R$15*$Z$50</f>
        <v>390.47026365174025</v>
      </c>
      <c r="K35" s="131">
        <f t="shared" si="6"/>
        <v>5.460959548447789</v>
      </c>
      <c r="L35" s="197">
        <v>84.77892756349954</v>
      </c>
      <c r="M35" s="129">
        <f>(N35/100)*$R$15*(1+$Z$50)</f>
        <v>553.4121549427678</v>
      </c>
      <c r="N35" s="131">
        <f t="shared" si="7"/>
        <v>6.275643103293973</v>
      </c>
      <c r="O35" s="147">
        <f t="shared" si="0"/>
        <v>78.26025123416747</v>
      </c>
      <c r="P35" s="129">
        <f>(Q35/100)*$R$15*$Z$50</f>
        <v>487.1030092056678</v>
      </c>
      <c r="Q35" s="131">
        <f t="shared" si="8"/>
        <v>6.812426135404351</v>
      </c>
      <c r="R35" s="197">
        <v>76.96690866115145</v>
      </c>
      <c r="S35" s="129">
        <f>(T35/100)*$R$15</f>
        <v>0</v>
      </c>
      <c r="T35" s="131">
        <f t="shared" si="9"/>
        <v>0</v>
      </c>
      <c r="U35" s="198">
        <v>100</v>
      </c>
      <c r="V35" s="35"/>
      <c r="X35" s="94"/>
      <c r="Y35" s="86"/>
      <c r="Z35" s="57">
        <f t="shared" si="17"/>
        <v>6.35943161697516</v>
      </c>
      <c r="AA35" s="78">
        <f t="shared" si="10"/>
        <v>0.1680177944981751</v>
      </c>
      <c r="AB35" s="28">
        <f>(AC35/100)*$R$15*(1+$Z$50)</f>
        <v>514.2507666113075</v>
      </c>
      <c r="AC35" s="29">
        <f t="shared" si="11"/>
        <v>5.831556549714099</v>
      </c>
      <c r="AD35" s="30">
        <f t="shared" si="1"/>
        <v>80.0697429760538</v>
      </c>
      <c r="AE35" s="77">
        <f t="shared" si="12"/>
        <v>1.8094917418863332</v>
      </c>
      <c r="AF35" s="28">
        <f>(AG35/100)*$R$15</f>
        <v>1.4014364239092787</v>
      </c>
      <c r="AG35" s="29">
        <f t="shared" si="18"/>
        <v>0.08400889724908756</v>
      </c>
      <c r="AH35" s="30">
        <f t="shared" si="13"/>
        <v>99.65769419363907</v>
      </c>
      <c r="AI35" s="77">
        <f t="shared" si="2"/>
        <v>-0.3423058063609261</v>
      </c>
      <c r="AJ35" s="28">
        <f>(AK35/100)*$Z$50*$R$15</f>
        <v>512.8493301873982</v>
      </c>
      <c r="AK35" s="29">
        <f t="shared" si="14"/>
        <v>7.172503791735138</v>
      </c>
      <c r="AL35" s="30">
        <f t="shared" si="15"/>
        <v>75.49972272562604</v>
      </c>
      <c r="AM35" s="140">
        <f t="shared" si="16"/>
        <v>-1.467185935525407</v>
      </c>
      <c r="AN35" s="89"/>
    </row>
    <row r="36" spans="2:40" ht="12.75">
      <c r="B36" s="46"/>
      <c r="C36" s="191">
        <f t="shared" si="3"/>
        <v>12</v>
      </c>
      <c r="D36" s="194">
        <v>35</v>
      </c>
      <c r="E36" s="194">
        <v>425</v>
      </c>
      <c r="F36" s="127">
        <f t="shared" si="4"/>
        <v>504.9752469181039</v>
      </c>
      <c r="G36" s="129">
        <f>(H36/100)*$R$15</f>
        <v>73.23434503282274</v>
      </c>
      <c r="H36" s="131">
        <f t="shared" si="5"/>
        <v>4.390021881838074</v>
      </c>
      <c r="I36" s="197">
        <v>45.92997811816193</v>
      </c>
      <c r="J36" s="129">
        <f>(K36/100)*$R$15*$Z$50</f>
        <v>755.7163500649958</v>
      </c>
      <c r="K36" s="131">
        <f t="shared" si="6"/>
        <v>10.569143932267167</v>
      </c>
      <c r="L36" s="197">
        <v>74.20978363123237</v>
      </c>
      <c r="M36" s="129">
        <f>(N36/100)*$R$15*(1+$Z$50)</f>
        <v>828.9506950978197</v>
      </c>
      <c r="N36" s="131">
        <f t="shared" si="7"/>
        <v>9.400224888807102</v>
      </c>
      <c r="O36" s="147">
        <f t="shared" si="0"/>
        <v>68.86002634536037</v>
      </c>
      <c r="P36" s="129">
        <f>(Q36/100)*$R$15*$Z$50</f>
        <v>907.2067197473598</v>
      </c>
      <c r="Q36" s="131">
        <f t="shared" si="8"/>
        <v>12.687827114637855</v>
      </c>
      <c r="R36" s="197">
        <v>64.2790815465136</v>
      </c>
      <c r="S36" s="129">
        <f>(T36/100)*$R$15</f>
        <v>65.91584811862509</v>
      </c>
      <c r="T36" s="131">
        <f t="shared" si="9"/>
        <v>3.9513156766949464</v>
      </c>
      <c r="U36" s="198">
        <v>96.04868432330505</v>
      </c>
      <c r="V36" s="35"/>
      <c r="X36" s="94"/>
      <c r="Y36" s="86"/>
      <c r="Z36" s="57">
        <f t="shared" si="17"/>
        <v>5.046844198686122</v>
      </c>
      <c r="AA36" s="78">
        <f t="shared" si="10"/>
        <v>-0.3653106946546833</v>
      </c>
      <c r="AB36" s="28">
        <f>(AC36/100)*$R$15*(1+$Z$50)</f>
        <v>914.0968786775768</v>
      </c>
      <c r="AC36" s="29">
        <f t="shared" si="11"/>
        <v>10.365774804871677</v>
      </c>
      <c r="AD36" s="30">
        <f t="shared" si="1"/>
        <v>69.70396817118213</v>
      </c>
      <c r="AE36" s="77">
        <f t="shared" si="12"/>
        <v>0.8439418258217586</v>
      </c>
      <c r="AF36" s="28">
        <f>(AG36/100)*$R$15</f>
        <v>62.868791614510386</v>
      </c>
      <c r="AG36" s="29">
        <f t="shared" si="18"/>
        <v>3.768660329367605</v>
      </c>
      <c r="AH36" s="30">
        <f t="shared" si="13"/>
        <v>95.88903386427147</v>
      </c>
      <c r="AI36" s="77">
        <f t="shared" si="2"/>
        <v>-0.15965045903358543</v>
      </c>
      <c r="AJ36" s="28">
        <f>(AK36/100)*$Z$50*$R$15</f>
        <v>851.2280870630664</v>
      </c>
      <c r="AK36" s="29">
        <f t="shared" si="14"/>
        <v>11.904932545900621</v>
      </c>
      <c r="AL36" s="30">
        <f t="shared" si="15"/>
        <v>63.59479017972542</v>
      </c>
      <c r="AM36" s="140">
        <f t="shared" si="16"/>
        <v>-0.6842913667881731</v>
      </c>
      <c r="AN36" s="89"/>
    </row>
    <row r="37" spans="2:40" ht="12.75">
      <c r="B37" s="46"/>
      <c r="C37" s="191">
        <f t="shared" si="3"/>
        <v>13</v>
      </c>
      <c r="D37" s="194">
        <v>48</v>
      </c>
      <c r="E37" s="194">
        <v>300</v>
      </c>
      <c r="F37" s="127">
        <f t="shared" si="4"/>
        <v>357.0714214271425</v>
      </c>
      <c r="G37" s="129">
        <f>(H37/100)*$R$15</f>
        <v>110.82396498905912</v>
      </c>
      <c r="H37" s="131">
        <f t="shared" si="5"/>
        <v>6.643326039387311</v>
      </c>
      <c r="I37" s="197">
        <v>39.286652078774615</v>
      </c>
      <c r="J37" s="129">
        <f>(K37/100)*$R$15*$Z$50</f>
        <v>1072.532016180362</v>
      </c>
      <c r="K37" s="131">
        <f t="shared" si="6"/>
        <v>15.000000000000007</v>
      </c>
      <c r="L37" s="197">
        <v>59.20978363123236</v>
      </c>
      <c r="M37" s="129">
        <f>(N37/100)*$R$15*(1+$Z$50)</f>
        <v>1183.3559811694206</v>
      </c>
      <c r="N37" s="131">
        <f t="shared" si="7"/>
        <v>13.419148342948041</v>
      </c>
      <c r="O37" s="147">
        <f t="shared" si="0"/>
        <v>55.440878002412326</v>
      </c>
      <c r="P37" s="129">
        <f>(Q37/100)*$R$15*$Z$50</f>
        <v>1323.4388365819298</v>
      </c>
      <c r="Q37" s="131">
        <f t="shared" si="8"/>
        <v>18.509081546513592</v>
      </c>
      <c r="R37" s="197">
        <v>45.77</v>
      </c>
      <c r="S37" s="129">
        <f>(T37/100)*$R$15</f>
        <v>85.36173823605056</v>
      </c>
      <c r="T37" s="131">
        <f t="shared" si="9"/>
        <v>5.116996657238374</v>
      </c>
      <c r="U37" s="198">
        <v>90.93168766606668</v>
      </c>
      <c r="V37" s="35"/>
      <c r="X37" s="94"/>
      <c r="Y37" s="86"/>
      <c r="Z37" s="57">
        <f t="shared" si="17"/>
        <v>3.8426984395251367</v>
      </c>
      <c r="AA37" s="78">
        <f t="shared" si="10"/>
        <v>-0.5712440265261207</v>
      </c>
      <c r="AB37" s="28">
        <f>(AC37/100)*$R$15*(1+$Z$50)</f>
        <v>1316.5008615770687</v>
      </c>
      <c r="AC37" s="29">
        <f t="shared" si="11"/>
        <v>14.928999080786589</v>
      </c>
      <c r="AD37" s="30">
        <f t="shared" si="1"/>
        <v>54.77496909039554</v>
      </c>
      <c r="AE37" s="77">
        <f t="shared" si="12"/>
        <v>-0.6659089120167891</v>
      </c>
      <c r="AF37" s="28">
        <f>(AG37/100)*$R$15</f>
        <v>80.5969918107962</v>
      </c>
      <c r="AG37" s="29">
        <f t="shared" si="18"/>
        <v>4.831374643975314</v>
      </c>
      <c r="AH37" s="30">
        <f t="shared" si="13"/>
        <v>91.05765922029616</v>
      </c>
      <c r="AI37" s="77">
        <f t="shared" si="2"/>
        <v>0.12597155422947992</v>
      </c>
      <c r="AJ37" s="28">
        <f>(AK37/100)*$Z$50*$R$15</f>
        <v>1235.9038697662725</v>
      </c>
      <c r="AK37" s="29">
        <f t="shared" si="14"/>
        <v>17.284852821938106</v>
      </c>
      <c r="AL37" s="30">
        <f t="shared" si="15"/>
        <v>46.30993735778732</v>
      </c>
      <c r="AM37" s="140">
        <f t="shared" si="16"/>
        <v>0.5399373577873163</v>
      </c>
      <c r="AN37" s="89"/>
    </row>
    <row r="38" spans="2:40" ht="12.75">
      <c r="B38" s="46"/>
      <c r="C38" s="191">
        <f t="shared" si="3"/>
        <v>14</v>
      </c>
      <c r="D38" s="194">
        <v>65</v>
      </c>
      <c r="E38" s="194">
        <v>212</v>
      </c>
      <c r="F38" s="127">
        <f t="shared" si="4"/>
        <v>252.19040425836982</v>
      </c>
      <c r="G38" s="129">
        <f>(H38/100)*$R$15</f>
        <v>100.09200000000013</v>
      </c>
      <c r="H38" s="131">
        <f t="shared" si="5"/>
        <v>6.000000000000007</v>
      </c>
      <c r="I38" s="197">
        <v>33.28665207877461</v>
      </c>
      <c r="J38" s="129">
        <f>(K38/100)*$R$15*$Z$50</f>
        <v>1240.0205530438984</v>
      </c>
      <c r="K38" s="131">
        <f t="shared" si="6"/>
        <v>17.342427093132642</v>
      </c>
      <c r="L38" s="197">
        <v>41.86735653809972</v>
      </c>
      <c r="M38" s="129">
        <f>(N38/100)*$R$15*(1+$Z$50)</f>
        <v>1340.1125530438978</v>
      </c>
      <c r="N38" s="131">
        <f t="shared" si="7"/>
        <v>15.196753497431516</v>
      </c>
      <c r="O38" s="147">
        <f t="shared" si="0"/>
        <v>40.24412450498081</v>
      </c>
      <c r="P38" s="129">
        <f>(Q38/100)*$R$15*$Z$50</f>
        <v>999.5053157452259</v>
      </c>
      <c r="Q38" s="131">
        <f t="shared" si="8"/>
        <v>13.978678034779684</v>
      </c>
      <c r="R38" s="197">
        <v>31.79132196522032</v>
      </c>
      <c r="S38" s="129">
        <f>(T38/100)*$R$15</f>
        <v>148.41789663152488</v>
      </c>
      <c r="T38" s="131">
        <f t="shared" si="9"/>
        <v>8.896888660323995</v>
      </c>
      <c r="U38" s="198">
        <v>82.03479900574268</v>
      </c>
      <c r="V38" s="35"/>
      <c r="X38" s="94"/>
      <c r="Y38" s="86"/>
      <c r="Z38" s="57">
        <f t="shared" si="17"/>
        <v>4.838028946246207</v>
      </c>
      <c r="AA38" s="78">
        <f t="shared" si="10"/>
        <v>0.48698002041799227</v>
      </c>
      <c r="AB38" s="28">
        <f>(AC38/100)*$R$15*(1+$Z$50)</f>
        <v>1226.6078272723757</v>
      </c>
      <c r="AC38" s="29">
        <f t="shared" si="11"/>
        <v>13.909620312666187</v>
      </c>
      <c r="AD38" s="30">
        <f t="shared" si="1"/>
        <v>40.86534877772935</v>
      </c>
      <c r="AE38" s="77">
        <f t="shared" si="12"/>
        <v>0.6212242727485418</v>
      </c>
      <c r="AF38" s="28">
        <f>(AG38/100)*$R$15</f>
        <v>152.47979698183136</v>
      </c>
      <c r="AG38" s="29">
        <f t="shared" si="18"/>
        <v>9.140378670532991</v>
      </c>
      <c r="AH38" s="30">
        <f t="shared" si="13"/>
        <v>81.91728054976316</v>
      </c>
      <c r="AI38" s="77">
        <f t="shared" si="2"/>
        <v>-0.11751845597952126</v>
      </c>
      <c r="AJ38" s="28">
        <f>(AK38/100)*$Z$50*$R$15</f>
        <v>1074.1280302905443</v>
      </c>
      <c r="AK38" s="29">
        <f t="shared" si="14"/>
        <v>15.022321209336017</v>
      </c>
      <c r="AL38" s="30">
        <f t="shared" si="15"/>
        <v>31.2876161484513</v>
      </c>
      <c r="AM38" s="140">
        <f t="shared" si="16"/>
        <v>-0.5037058167690205</v>
      </c>
      <c r="AN38" s="89"/>
    </row>
    <row r="39" spans="2:40" ht="12.75">
      <c r="B39" s="46"/>
      <c r="C39" s="191">
        <f t="shared" si="3"/>
        <v>15</v>
      </c>
      <c r="D39" s="194">
        <v>100</v>
      </c>
      <c r="E39" s="194">
        <v>150</v>
      </c>
      <c r="F39" s="127">
        <f t="shared" si="4"/>
        <v>178.3255450012701</v>
      </c>
      <c r="G39" s="129">
        <f>(H39/100)*$R$15</f>
        <v>80.4532341356673</v>
      </c>
      <c r="H39" s="131">
        <f t="shared" si="5"/>
        <v>4.822757111597369</v>
      </c>
      <c r="I39" s="197">
        <v>28.46389496717724</v>
      </c>
      <c r="J39" s="129">
        <f>(K39/100)*$R$15*$Z$50</f>
        <v>652.6254740136729</v>
      </c>
      <c r="K39" s="131">
        <f t="shared" si="6"/>
        <v>9.127356538099718</v>
      </c>
      <c r="L39" s="197">
        <v>32.74</v>
      </c>
      <c r="M39" s="129">
        <f>(N39/100)*$R$15*(1+$Z$50)</f>
        <v>733.0787081493407</v>
      </c>
      <c r="N39" s="131">
        <f t="shared" si="7"/>
        <v>8.313045345823387</v>
      </c>
      <c r="O39" s="147">
        <f t="shared" si="0"/>
        <v>31.931079159157424</v>
      </c>
      <c r="P39" s="129">
        <f>(Q39/100)*$R$15*$Z$50</f>
        <v>896.6437672552909</v>
      </c>
      <c r="Q39" s="131">
        <f t="shared" si="8"/>
        <v>12.540097923349649</v>
      </c>
      <c r="R39" s="197">
        <v>19.25122404187067</v>
      </c>
      <c r="S39" s="129">
        <f>(T39/100)*$R$15</f>
        <v>180.875374989286</v>
      </c>
      <c r="T39" s="131">
        <f t="shared" si="9"/>
        <v>10.842547355789833</v>
      </c>
      <c r="U39" s="198">
        <v>71.19225164995285</v>
      </c>
      <c r="V39" s="35"/>
      <c r="X39" s="94"/>
      <c r="Y39" s="86"/>
      <c r="Z39" s="57">
        <f t="shared" si="17"/>
        <v>3.167697114653636</v>
      </c>
      <c r="AA39" s="78">
        <f t="shared" si="10"/>
        <v>-0.8727622928837726</v>
      </c>
      <c r="AB39" s="28">
        <f>(AC39/100)*$R$15*(1+$Z$50)</f>
        <v>936.5011085847196</v>
      </c>
      <c r="AC39" s="29">
        <f t="shared" si="11"/>
        <v>10.619836718123139</v>
      </c>
      <c r="AD39" s="30">
        <f t="shared" si="1"/>
        <v>30.24551205960621</v>
      </c>
      <c r="AE39" s="77">
        <f t="shared" si="12"/>
        <v>-1.6855670995512142</v>
      </c>
      <c r="AF39" s="28">
        <f>(AG39/100)*$R$15</f>
        <v>173.59566470434243</v>
      </c>
      <c r="AG39" s="29">
        <f t="shared" si="18"/>
        <v>10.406166209347946</v>
      </c>
      <c r="AH39" s="30">
        <f t="shared" si="13"/>
        <v>71.51111434041522</v>
      </c>
      <c r="AI39" s="77">
        <f t="shared" si="2"/>
        <v>0.3188626904623675</v>
      </c>
      <c r="AJ39" s="28">
        <f>(AK39/100)*$Z$50*$R$15</f>
        <v>762.9054438803774</v>
      </c>
      <c r="AK39" s="29">
        <f t="shared" si="14"/>
        <v>10.669687697491783</v>
      </c>
      <c r="AL39" s="30">
        <f t="shared" si="15"/>
        <v>20.617928450959518</v>
      </c>
      <c r="AM39" s="140">
        <f t="shared" si="16"/>
        <v>1.3667044090888467</v>
      </c>
      <c r="AN39" s="89"/>
    </row>
    <row r="40" spans="2:40" ht="12.75">
      <c r="B40" s="46"/>
      <c r="C40" s="191">
        <f t="shared" si="3"/>
        <v>16</v>
      </c>
      <c r="D40" s="194">
        <v>150</v>
      </c>
      <c r="E40" s="194">
        <v>106</v>
      </c>
      <c r="F40" s="127">
        <f t="shared" si="4"/>
        <v>126.09520212918491</v>
      </c>
      <c r="G40" s="129">
        <f>(H40/100)*$R$15</f>
        <v>78.77408315098465</v>
      </c>
      <c r="H40" s="131">
        <f t="shared" si="5"/>
        <v>4.72210065645514</v>
      </c>
      <c r="I40" s="197">
        <v>23.7417943107221</v>
      </c>
      <c r="J40" s="129">
        <f>(K40/100)*$R$15*$Z$50</f>
        <v>904.547067508771</v>
      </c>
      <c r="K40" s="131">
        <f t="shared" si="6"/>
        <v>12.650630291627472</v>
      </c>
      <c r="L40" s="197">
        <v>20.08936970837253</v>
      </c>
      <c r="M40" s="129">
        <f>(N40/100)*$R$15*(1+$Z$50)</f>
        <v>983.3211506597553</v>
      </c>
      <c r="N40" s="131">
        <f t="shared" si="7"/>
        <v>11.15077170305226</v>
      </c>
      <c r="O40" s="147">
        <f t="shared" si="0"/>
        <v>20.780307456105163</v>
      </c>
      <c r="P40" s="129">
        <f>(Q40/100)*$R$15*$Z$50</f>
        <v>536.8997852397049</v>
      </c>
      <c r="Q40" s="131">
        <f t="shared" si="8"/>
        <v>7.508863751477293</v>
      </c>
      <c r="R40" s="197">
        <v>11.742360290393378</v>
      </c>
      <c r="S40" s="129">
        <f>(T40/100)*$R$15</f>
        <v>268.95140202451347</v>
      </c>
      <c r="T40" s="131">
        <f t="shared" si="9"/>
        <v>16.12225164995285</v>
      </c>
      <c r="U40" s="198">
        <v>55.07</v>
      </c>
      <c r="V40" s="35"/>
      <c r="X40" s="94"/>
      <c r="Y40" s="86"/>
      <c r="Z40" s="57">
        <f t="shared" si="17"/>
        <v>3.753225151728965</v>
      </c>
      <c r="AA40" s="78">
        <f t="shared" si="10"/>
        <v>0.44968324516819685</v>
      </c>
      <c r="AB40" s="28">
        <f>(AC40/100)*$R$15*(1+$Z$50)</f>
        <v>878.5095130425608</v>
      </c>
      <c r="AC40" s="29">
        <f t="shared" si="11"/>
        <v>9.962217341022903</v>
      </c>
      <c r="AD40" s="30">
        <f t="shared" si="1"/>
        <v>20.283294718583306</v>
      </c>
      <c r="AE40" s="77">
        <f t="shared" si="12"/>
        <v>-0.4970127375218567</v>
      </c>
      <c r="AF40" s="28">
        <f>(AG40/100)*$R$15</f>
        <v>272.7022099724614</v>
      </c>
      <c r="AG40" s="29">
        <f t="shared" si="18"/>
        <v>16.34709327253695</v>
      </c>
      <c r="AH40" s="30">
        <f t="shared" si="13"/>
        <v>55.164021067878274</v>
      </c>
      <c r="AI40" s="77">
        <f t="shared" si="2"/>
        <v>0.09402106787827336</v>
      </c>
      <c r="AJ40" s="28">
        <f>(AK40/100)*$Z$50*$R$15</f>
        <v>605.8073030700997</v>
      </c>
      <c r="AK40" s="29">
        <f t="shared" si="14"/>
        <v>8.47257649092255</v>
      </c>
      <c r="AL40" s="30">
        <f t="shared" si="15"/>
        <v>12.145351960036965</v>
      </c>
      <c r="AM40" s="140">
        <f t="shared" si="16"/>
        <v>0.4029916696435869</v>
      </c>
      <c r="AN40" s="89"/>
    </row>
    <row r="41" spans="2:40" ht="12.75">
      <c r="B41" s="46"/>
      <c r="C41" s="191">
        <f t="shared" si="3"/>
        <v>17</v>
      </c>
      <c r="D41" s="194">
        <v>200</v>
      </c>
      <c r="E41" s="194">
        <v>75</v>
      </c>
      <c r="F41" s="127">
        <f t="shared" si="4"/>
        <v>89.16277250063504</v>
      </c>
      <c r="G41" s="129">
        <f>(H41/100)*$R$15</f>
        <v>74.02865645514224</v>
      </c>
      <c r="H41" s="131">
        <f t="shared" si="5"/>
        <v>4.4376367614879655</v>
      </c>
      <c r="I41" s="197">
        <v>19.304157549234134</v>
      </c>
      <c r="J41" s="129">
        <f>(K41/100)*$R$15*$Z$50</f>
        <v>380.7169151195259</v>
      </c>
      <c r="K41" s="131">
        <f t="shared" si="6"/>
        <v>5.324553151458133</v>
      </c>
      <c r="L41" s="197">
        <v>14.764816556914397</v>
      </c>
      <c r="M41" s="129">
        <f>(N41/100)*$R$15*(1+$Z$50)</f>
        <v>454.74557157466836</v>
      </c>
      <c r="N41" s="131">
        <f t="shared" si="7"/>
        <v>5.156773093104862</v>
      </c>
      <c r="O41" s="147">
        <f t="shared" si="0"/>
        <v>15.623534363000301</v>
      </c>
      <c r="P41" s="129">
        <f>(Q41/100)*$R$15*$Z$50</f>
        <v>293.9518779221318</v>
      </c>
      <c r="Q41" s="131">
        <f t="shared" si="8"/>
        <v>4.1110923518487255</v>
      </c>
      <c r="R41" s="197">
        <v>7.631267938544653</v>
      </c>
      <c r="S41" s="129">
        <f>(T41/100)*$R$15</f>
        <v>115.53388125310701</v>
      </c>
      <c r="T41" s="131">
        <f t="shared" si="9"/>
        <v>6.925661266820946</v>
      </c>
      <c r="U41" s="198">
        <v>48.144338733179055</v>
      </c>
      <c r="V41" s="35"/>
      <c r="X41" s="94"/>
      <c r="Y41" s="86"/>
      <c r="Z41" s="57">
        <f t="shared" si="17"/>
        <v>4.04289403869457</v>
      </c>
      <c r="AA41" s="78">
        <f t="shared" si="10"/>
        <v>0.11468182517240039</v>
      </c>
      <c r="AB41" s="28">
        <f>(AC41/100)*$R$15*(1+$Z$50)</f>
        <v>428.0156677359069</v>
      </c>
      <c r="AC41" s="29">
        <f t="shared" si="11"/>
        <v>4.853658434022641</v>
      </c>
      <c r="AD41" s="30">
        <f t="shared" si="1"/>
        <v>15.429636284560665</v>
      </c>
      <c r="AE41" s="77">
        <f t="shared" si="12"/>
        <v>-0.19389807843963602</v>
      </c>
      <c r="AF41" s="28">
        <f>(AG41/100)*$R$15</f>
        <v>116.49044235687</v>
      </c>
      <c r="AG41" s="29">
        <f t="shared" si="18"/>
        <v>6.983002179407146</v>
      </c>
      <c r="AH41" s="30">
        <f t="shared" si="13"/>
        <v>48.18101888847113</v>
      </c>
      <c r="AI41" s="77">
        <f t="shared" si="2"/>
        <v>0.0366801552920748</v>
      </c>
      <c r="AJ41" s="28">
        <f>(AK41/100)*$Z$50*$R$15</f>
        <v>311.525225379037</v>
      </c>
      <c r="AK41" s="29">
        <f t="shared" si="14"/>
        <v>4.356866098344746</v>
      </c>
      <c r="AL41" s="30">
        <f t="shared" si="15"/>
        <v>7.788485861692219</v>
      </c>
      <c r="AM41" s="140">
        <f t="shared" si="16"/>
        <v>0.15721792314756566</v>
      </c>
      <c r="AN41" s="89"/>
    </row>
    <row r="42" spans="2:40" ht="12.75">
      <c r="B42" s="46"/>
      <c r="C42" s="191">
        <f t="shared" si="3"/>
        <v>18</v>
      </c>
      <c r="D42" s="194">
        <v>270</v>
      </c>
      <c r="E42" s="194">
        <v>53</v>
      </c>
      <c r="F42" s="127">
        <f t="shared" si="4"/>
        <v>63.047601064592456</v>
      </c>
      <c r="G42" s="129">
        <f>(H42/100)*$R$15</f>
        <v>65.85192122538282</v>
      </c>
      <c r="H42" s="131">
        <f t="shared" si="5"/>
        <v>3.947483588621438</v>
      </c>
      <c r="I42" s="197">
        <v>15.356673960612696</v>
      </c>
      <c r="J42" s="129">
        <f>(K42/100)*$R$15*$Z$50</f>
        <v>263.004088006598</v>
      </c>
      <c r="K42" s="131">
        <f t="shared" si="6"/>
        <v>3.6782690498588835</v>
      </c>
      <c r="L42" s="197">
        <v>11.086547507055514</v>
      </c>
      <c r="M42" s="129">
        <f>(N42/100)*$R$15*(1+$Z$50)</f>
        <v>328.85600923198075</v>
      </c>
      <c r="N42" s="131">
        <f t="shared" si="7"/>
        <v>3.729196996995647</v>
      </c>
      <c r="O42" s="147">
        <f t="shared" si="0"/>
        <v>11.894337366004654</v>
      </c>
      <c r="P42" s="129">
        <f>(Q42/100)*$R$15*$Z$50</f>
        <v>183.49357471935951</v>
      </c>
      <c r="Q42" s="131">
        <f t="shared" si="8"/>
        <v>2.5662670943778494</v>
      </c>
      <c r="R42" s="197">
        <v>5.0650008441668035</v>
      </c>
      <c r="S42" s="129">
        <f>(T42/100)*$R$15</f>
        <v>153.99429159166877</v>
      </c>
      <c r="T42" s="131">
        <f t="shared" si="9"/>
        <v>9.231164823862173</v>
      </c>
      <c r="U42" s="198">
        <v>38.91317390931688</v>
      </c>
      <c r="V42" s="35"/>
      <c r="X42" s="94"/>
      <c r="Y42" s="86"/>
      <c r="Z42" s="57">
        <f t="shared" si="17"/>
        <v>3.9120347756972214</v>
      </c>
      <c r="AA42" s="78">
        <f t="shared" si="10"/>
        <v>-0.021871878648461997</v>
      </c>
      <c r="AB42" s="28">
        <f>(AC42/100)*$R$15*(1+$Z$50)</f>
        <v>333.9538807749874</v>
      </c>
      <c r="AC42" s="29">
        <f t="shared" si="11"/>
        <v>3.7870063929487534</v>
      </c>
      <c r="AD42" s="30">
        <f t="shared" si="1"/>
        <v>11.64262989161191</v>
      </c>
      <c r="AE42" s="77">
        <f t="shared" si="12"/>
        <v>-0.25170747439274344</v>
      </c>
      <c r="AF42" s="28">
        <f>(AG42/100)*$R$15</f>
        <v>153.81185825186196</v>
      </c>
      <c r="AG42" s="29">
        <f t="shared" si="18"/>
        <v>9.220228884537942</v>
      </c>
      <c r="AH42" s="30">
        <f t="shared" si="13"/>
        <v>38.960790003933184</v>
      </c>
      <c r="AI42" s="77">
        <f t="shared" si="2"/>
        <v>0.04761609461630201</v>
      </c>
      <c r="AJ42" s="28">
        <f>(AK42/100)*$Z$50*$R$15</f>
        <v>180.14202252312546</v>
      </c>
      <c r="AK42" s="29">
        <f t="shared" si="14"/>
        <v>2.5193936377489736</v>
      </c>
      <c r="AL42" s="30">
        <f t="shared" si="15"/>
        <v>5.269092223943245</v>
      </c>
      <c r="AM42" s="140">
        <f t="shared" si="16"/>
        <v>0.20409137977644143</v>
      </c>
      <c r="AN42" s="89"/>
    </row>
    <row r="43" spans="2:40" ht="12.75">
      <c r="B43" s="46"/>
      <c r="C43" s="191">
        <f t="shared" si="3"/>
        <v>19</v>
      </c>
      <c r="D43" s="194">
        <v>325</v>
      </c>
      <c r="E43" s="194">
        <v>44</v>
      </c>
      <c r="F43" s="127">
        <f t="shared" si="4"/>
        <v>48.29078587059855</v>
      </c>
      <c r="G43" s="129">
        <f>(H43/100)*$R$15</f>
        <v>28.399553610503236</v>
      </c>
      <c r="H43" s="131">
        <f t="shared" si="5"/>
        <v>1.7024070021881812</v>
      </c>
      <c r="I43" s="197">
        <v>13.654266958424515</v>
      </c>
      <c r="J43" s="129">
        <f>(K43/100)*$R$15*$Z$50</f>
        <v>102.57832076983709</v>
      </c>
      <c r="K43" s="131">
        <f t="shared" si="6"/>
        <v>1.4346190028222026</v>
      </c>
      <c r="L43" s="197">
        <v>9.651928504233311</v>
      </c>
      <c r="M43" s="129">
        <f>(N43/100)*$R$15*(1+$Z$50)</f>
        <v>130.97787438034055</v>
      </c>
      <c r="N43" s="131">
        <f t="shared" si="7"/>
        <v>1.4852770881479724</v>
      </c>
      <c r="O43" s="147">
        <f t="shared" si="0"/>
        <v>10.409060277856682</v>
      </c>
      <c r="P43" s="129">
        <f>(Q43/100)*$R$15*$Z$50</f>
        <v>66.39570137871546</v>
      </c>
      <c r="Q43" s="131">
        <f t="shared" si="8"/>
        <v>0.9285834880972459</v>
      </c>
      <c r="R43" s="197">
        <v>4.136417356069558</v>
      </c>
      <c r="S43" s="129">
        <f>(T43/100)*$R$15</f>
        <v>50.04457015513845</v>
      </c>
      <c r="T43" s="131">
        <f t="shared" si="9"/>
        <v>2.999914288163197</v>
      </c>
      <c r="U43" s="198">
        <v>35.913259621153685</v>
      </c>
      <c r="V43" s="35"/>
      <c r="X43" s="94"/>
      <c r="Y43" s="86"/>
      <c r="Z43" s="57">
        <f t="shared" si="17"/>
        <v>4.0357080358979465</v>
      </c>
      <c r="AA43" s="78">
        <f t="shared" si="10"/>
        <v>0.036836185120546074</v>
      </c>
      <c r="AB43" s="28">
        <f>(AC43/100)*$R$15*(1+$Z$50)</f>
        <v>122.39214002723948</v>
      </c>
      <c r="AC43" s="29">
        <f t="shared" si="11"/>
        <v>1.3879156476763133</v>
      </c>
      <c r="AD43" s="30">
        <f t="shared" si="1"/>
        <v>10.254714243935597</v>
      </c>
      <c r="AE43" s="77">
        <f t="shared" si="12"/>
        <v>-0.15434603392108492</v>
      </c>
      <c r="AF43" s="28">
        <f>(AG43/100)*$R$15</f>
        <v>50.35182077522892</v>
      </c>
      <c r="AG43" s="29">
        <f t="shared" si="18"/>
        <v>3.0183323807234697</v>
      </c>
      <c r="AH43" s="30">
        <f>AH44+AG44</f>
        <v>35.94245762320971</v>
      </c>
      <c r="AI43" s="77">
        <f t="shared" si="2"/>
        <v>0.029198002056027406</v>
      </c>
      <c r="AJ43" s="28">
        <f>(AK43/100)*$Z$50*$R$15</f>
        <v>72.04031925201056</v>
      </c>
      <c r="AK43" s="29">
        <f t="shared" si="14"/>
        <v>1.007526836008632</v>
      </c>
      <c r="AL43" s="30">
        <f>AL44+AK44</f>
        <v>4.2615653879346125</v>
      </c>
      <c r="AM43" s="140">
        <f t="shared" si="16"/>
        <v>0.12514803186505485</v>
      </c>
      <c r="AN43" s="89"/>
    </row>
    <row r="44" spans="2:40" ht="12.75">
      <c r="B44" s="46"/>
      <c r="C44" s="191">
        <f t="shared" si="3"/>
        <v>20</v>
      </c>
      <c r="D44" s="194">
        <v>400</v>
      </c>
      <c r="E44" s="196">
        <v>37</v>
      </c>
      <c r="F44" s="127">
        <f t="shared" si="4"/>
        <v>40.34848200366403</v>
      </c>
      <c r="G44" s="129">
        <f>(H44/100)*$R$15</f>
        <v>14.820332603938832</v>
      </c>
      <c r="H44" s="131">
        <f t="shared" si="5"/>
        <v>0.888402625820575</v>
      </c>
      <c r="I44" s="197">
        <v>12.76586433260394</v>
      </c>
      <c r="J44" s="129">
        <f>(K44/100)*$R$15*$Z$50</f>
        <v>67.26447263595864</v>
      </c>
      <c r="K44" s="131">
        <f t="shared" si="6"/>
        <v>0.9407337723424263</v>
      </c>
      <c r="L44" s="197">
        <v>8.711194731890885</v>
      </c>
      <c r="M44" s="129">
        <f>(N44/100)*$R$15*(1+$Z$50)</f>
        <v>82.08480523989725</v>
      </c>
      <c r="N44" s="131">
        <f t="shared" si="7"/>
        <v>0.9308341663407518</v>
      </c>
      <c r="O44" s="147">
        <f t="shared" si="0"/>
        <v>9.47822611151593</v>
      </c>
      <c r="P44" s="129">
        <f>(Q44/100)*$R$15*$Z$50</f>
        <v>41.648212683012495</v>
      </c>
      <c r="Q44" s="131">
        <f t="shared" si="8"/>
        <v>0.5824750970791825</v>
      </c>
      <c r="R44" s="197">
        <v>3.553942258990375</v>
      </c>
      <c r="S44" s="129">
        <f>(T44/100)*$R$15</f>
        <v>49.75860118282338</v>
      </c>
      <c r="T44" s="131">
        <f t="shared" si="9"/>
        <v>2.9827719208022643</v>
      </c>
      <c r="U44" s="198">
        <v>32.93048770035142</v>
      </c>
      <c r="V44" s="35"/>
      <c r="X44" s="94"/>
      <c r="Y44" s="86" t="s">
        <v>147</v>
      </c>
      <c r="Z44" s="57">
        <f t="shared" si="17"/>
        <v>3.9099546655327155</v>
      </c>
      <c r="AA44" s="78">
        <f t="shared" si="10"/>
        <v>-0.023620622950460482</v>
      </c>
      <c r="AB44" s="28">
        <f>(AC44/100)*$R$15*(1+$Z$50)</f>
        <v>87.59027203141635</v>
      </c>
      <c r="AC44" s="29">
        <f t="shared" si="11"/>
        <v>0.9932656550459175</v>
      </c>
      <c r="AD44" s="30">
        <f>AC45</f>
        <v>9.26144858888968</v>
      </c>
      <c r="AE44" s="138">
        <f t="shared" si="12"/>
        <v>-0.21677752262625027</v>
      </c>
      <c r="AF44" s="28">
        <f>(AG44/100)*$R$15</f>
        <v>49.561581566793585</v>
      </c>
      <c r="AG44" s="29">
        <f t="shared" si="18"/>
        <v>2.970961609327034</v>
      </c>
      <c r="AH44" s="30">
        <f>AG45</f>
        <v>32.97149601388268</v>
      </c>
      <c r="AI44" s="77">
        <f t="shared" si="2"/>
        <v>0.041008313531257556</v>
      </c>
      <c r="AJ44" s="28">
        <f>(AK44/100)*$Z$50*$R$15</f>
        <v>38.028690464622755</v>
      </c>
      <c r="AK44" s="29">
        <f t="shared" si="14"/>
        <v>0.5318539198492471</v>
      </c>
      <c r="AL44" s="30">
        <f>AK45</f>
        <v>3.729711468085365</v>
      </c>
      <c r="AM44" s="140">
        <f t="shared" si="16"/>
        <v>0.17576920909499005</v>
      </c>
      <c r="AN44" s="89"/>
    </row>
    <row r="45" spans="2:40" ht="12.75">
      <c r="B45" s="46"/>
      <c r="C45" s="191">
        <v>21</v>
      </c>
      <c r="D45" s="191">
        <f>-D44</f>
        <v>-400</v>
      </c>
      <c r="E45" s="51">
        <v>0</v>
      </c>
      <c r="F45" s="128">
        <f>(E44+E45)/2</f>
        <v>18.5</v>
      </c>
      <c r="G45" s="132">
        <f>(H45/100)*$R$15</f>
        <v>212.96014879649894</v>
      </c>
      <c r="H45" s="133">
        <f t="shared" si="5"/>
        <v>12.76586433260394</v>
      </c>
      <c r="I45" s="125">
        <v>0</v>
      </c>
      <c r="J45" s="132">
        <f>(K45/100)*$R$15*$Z$50</f>
        <v>622.8690166089783</v>
      </c>
      <c r="K45" s="133">
        <f t="shared" si="6"/>
        <v>8.711194731890885</v>
      </c>
      <c r="L45" s="125">
        <v>0</v>
      </c>
      <c r="M45" s="132">
        <f>(N45/100)*$R$15*(1+$Z$50)</f>
        <v>835.8291654054772</v>
      </c>
      <c r="N45" s="133">
        <f t="shared" si="7"/>
        <v>9.47822611151593</v>
      </c>
      <c r="O45" s="148">
        <v>0</v>
      </c>
      <c r="P45" s="132">
        <f>(Q45/100)*$R$15*$Z$50</f>
        <v>254.11445709490235</v>
      </c>
      <c r="Q45" s="133">
        <f t="shared" si="8"/>
        <v>3.553942258990375</v>
      </c>
      <c r="R45" s="125">
        <v>0</v>
      </c>
      <c r="S45" s="132">
        <f>(T45/100)*$R$15</f>
        <v>549.3463958172624</v>
      </c>
      <c r="T45" s="133">
        <f t="shared" si="9"/>
        <v>32.93048770035142</v>
      </c>
      <c r="U45" s="125">
        <v>0</v>
      </c>
      <c r="V45" s="35"/>
      <c r="X45" s="94"/>
      <c r="Y45" s="86" t="s">
        <v>146</v>
      </c>
      <c r="Z45" s="81"/>
      <c r="AA45" s="84">
        <f t="shared" si="10"/>
        <v>0.08201662706252116</v>
      </c>
      <c r="AB45" s="28">
        <f>(AC45/100)*$R$15*(1+$Z$50)</f>
        <v>816.7128272126985</v>
      </c>
      <c r="AC45" s="29">
        <f t="shared" si="11"/>
        <v>9.26144858888968</v>
      </c>
      <c r="AD45" s="136"/>
      <c r="AE45" s="86"/>
      <c r="AF45" s="28">
        <f>(AG45/100)*$R$15</f>
        <v>550.0304965035908</v>
      </c>
      <c r="AG45" s="29">
        <f t="shared" si="18"/>
        <v>32.97149601388268</v>
      </c>
      <c r="AH45" s="136"/>
      <c r="AI45" s="139"/>
      <c r="AJ45" s="28">
        <f>(AK45/100)*$Z$50*$R$15</f>
        <v>266.6823307091075</v>
      </c>
      <c r="AK45" s="29">
        <f t="shared" si="14"/>
        <v>3.729711468085365</v>
      </c>
      <c r="AL45" s="136"/>
      <c r="AM45" s="142"/>
      <c r="AN45" s="89"/>
    </row>
    <row r="46" spans="2:40" ht="12.75">
      <c r="B46" s="46"/>
      <c r="C46" s="52" t="s">
        <v>124</v>
      </c>
      <c r="D46" s="52"/>
      <c r="E46" s="52"/>
      <c r="F46" s="52"/>
      <c r="G46" s="123">
        <f>SUM(G26:G45)</f>
        <v>1668.2</v>
      </c>
      <c r="H46" s="124">
        <f>SUM(H26:H45)</f>
        <v>100</v>
      </c>
      <c r="I46" s="121"/>
      <c r="J46" s="123">
        <f>SUM(J26:J45)</f>
        <v>7150.213441202408</v>
      </c>
      <c r="K46" s="124">
        <f>SUM(K26:K45)</f>
        <v>99.99999999999999</v>
      </c>
      <c r="L46" s="121"/>
      <c r="M46" s="123">
        <f>SUM(M26:M45)</f>
        <v>8818.413441202409</v>
      </c>
      <c r="N46" s="124">
        <f>SUM(N26:N45)</f>
        <v>100</v>
      </c>
      <c r="O46" s="121"/>
      <c r="P46" s="123">
        <f>SUM(P26:P45)</f>
        <v>7150.213441202411</v>
      </c>
      <c r="Q46" s="124">
        <f>SUM(Q26:Q45)</f>
        <v>100</v>
      </c>
      <c r="R46" s="121"/>
      <c r="S46" s="123">
        <f>SUM(S26:S45)</f>
        <v>1668.2</v>
      </c>
      <c r="T46" s="124">
        <f>SUM(T26:T45)</f>
        <v>100</v>
      </c>
      <c r="U46" s="121"/>
      <c r="V46" s="35"/>
      <c r="X46" s="94"/>
      <c r="Y46" s="51">
        <f>Control_Panel!E16</f>
        <v>1</v>
      </c>
      <c r="Z46" s="80">
        <f>AVERAGE(Z26:Z44)</f>
        <v>4.628737453409725</v>
      </c>
      <c r="AA46" s="86"/>
      <c r="AB46" s="134">
        <f>SUM(AB26:AB45)</f>
        <v>8818.41344120241</v>
      </c>
      <c r="AC46" s="135">
        <f>SUM(AC26:AC45)</f>
        <v>99.99999999999999</v>
      </c>
      <c r="AD46" s="137"/>
      <c r="AE46" s="101"/>
      <c r="AF46" s="134">
        <f>SUM(AF26:AF45)</f>
        <v>1668.1999999999998</v>
      </c>
      <c r="AG46" s="135">
        <f>SUM(AG26:AG45)</f>
        <v>99.99999999999997</v>
      </c>
      <c r="AH46" s="137"/>
      <c r="AI46" s="101"/>
      <c r="AJ46" s="134">
        <f>SUM(AJ26:AJ45)</f>
        <v>7150.21344120241</v>
      </c>
      <c r="AK46" s="135">
        <f>SUM(AK26:AK45)</f>
        <v>99.99999999999999</v>
      </c>
      <c r="AL46" s="137"/>
      <c r="AM46" s="101"/>
      <c r="AN46" s="89"/>
    </row>
    <row r="47" spans="2:40" ht="12.75">
      <c r="B47" s="46"/>
      <c r="C47" s="34"/>
      <c r="D47" s="34"/>
      <c r="E47" s="34"/>
      <c r="F47" s="34"/>
      <c r="G47" s="34"/>
      <c r="H47" s="34"/>
      <c r="I47" s="120"/>
      <c r="J47" s="34"/>
      <c r="K47" s="34"/>
      <c r="L47" s="120"/>
      <c r="M47" s="34"/>
      <c r="N47" s="34"/>
      <c r="O47" s="120"/>
      <c r="P47" s="34"/>
      <c r="Q47" s="34"/>
      <c r="R47" s="120"/>
      <c r="S47" s="34"/>
      <c r="T47" s="34"/>
      <c r="U47" s="120"/>
      <c r="V47" s="35"/>
      <c r="X47" s="94"/>
      <c r="Y47" s="86"/>
      <c r="Z47" s="86"/>
      <c r="AA47" s="103"/>
      <c r="AB47" s="86"/>
      <c r="AC47" s="86"/>
      <c r="AD47" s="102"/>
      <c r="AE47" s="86"/>
      <c r="AF47" s="86"/>
      <c r="AG47" s="86"/>
      <c r="AH47" s="102"/>
      <c r="AI47" s="86"/>
      <c r="AJ47" s="86"/>
      <c r="AK47" s="86"/>
      <c r="AL47" s="86"/>
      <c r="AM47" s="86"/>
      <c r="AN47" s="89"/>
    </row>
    <row r="48" spans="2:40" ht="12.75">
      <c r="B48" s="46"/>
      <c r="C48" s="52" t="s">
        <v>104</v>
      </c>
      <c r="D48" s="34"/>
      <c r="E48" s="34"/>
      <c r="F48" s="34"/>
      <c r="G48" s="34"/>
      <c r="H48" s="34"/>
      <c r="I48" s="197">
        <v>81.7</v>
      </c>
      <c r="J48" s="34"/>
      <c r="K48" s="34"/>
      <c r="L48" s="197">
        <v>77.78</v>
      </c>
      <c r="M48" s="34"/>
      <c r="N48" s="34"/>
      <c r="O48" s="197">
        <v>70.89</v>
      </c>
      <c r="P48" s="34"/>
      <c r="Q48" s="34"/>
      <c r="R48" s="197">
        <v>82.4</v>
      </c>
      <c r="S48" s="34"/>
      <c r="T48" s="34"/>
      <c r="U48" s="198">
        <v>45.71</v>
      </c>
      <c r="V48" s="35"/>
      <c r="X48" s="94"/>
      <c r="Y48" s="51">
        <f>Control_Panel!E17</f>
        <v>1</v>
      </c>
      <c r="Z48" s="50">
        <f>IF(O48*R48&gt;0,(1/U48-1/O48)/(1/O48-1/R48)," ")</f>
        <v>3.943632096047665</v>
      </c>
      <c r="AA48" s="54">
        <f>((1+$Z$50)*(1/O48)-$Z$50*(1/R48)-(1/U48))/((1+$Z$50)^2/2/$O$50+$Z$50^2/2/$R$50+1/2/$U$50)</f>
        <v>2.8531228179710307E-05</v>
      </c>
      <c r="AB48" s="86"/>
      <c r="AC48" s="86"/>
      <c r="AD48" s="55">
        <f>1/(1/O48-AA48*(1+$Z$50)/2/$O$50)</f>
        <v>71.27100499567764</v>
      </c>
      <c r="AE48" s="56">
        <f>AD48-O48</f>
        <v>0.38100499567764246</v>
      </c>
      <c r="AF48" s="86"/>
      <c r="AG48" s="86"/>
      <c r="AH48" s="55">
        <f>1/(1/U48+AA48/2/$U$50)</f>
        <v>45.68021279111116</v>
      </c>
      <c r="AI48" s="56">
        <f>AH48-U48</f>
        <v>-0.02978720888884112</v>
      </c>
      <c r="AJ48" s="86"/>
      <c r="AK48" s="86"/>
      <c r="AL48" s="55">
        <f>1/(1/R48+AA48*$Z$50/2/$R$50)</f>
        <v>81.98692096945587</v>
      </c>
      <c r="AM48" s="56">
        <f>AL48-R48</f>
        <v>-0.4130790305441394</v>
      </c>
      <c r="AN48" s="89"/>
    </row>
    <row r="49" spans="2:40" ht="12.75">
      <c r="B49" s="46"/>
      <c r="C49" s="52" t="s">
        <v>21</v>
      </c>
      <c r="D49" s="34"/>
      <c r="E49" s="34"/>
      <c r="F49" s="34"/>
      <c r="G49" s="34"/>
      <c r="H49" s="34"/>
      <c r="I49" s="122">
        <f>1/((I48/100)/$R$17+(1-I48/100))</f>
        <v>2.3624235686492496</v>
      </c>
      <c r="J49" s="34"/>
      <c r="K49" s="34"/>
      <c r="L49" s="122">
        <f>1/((L48/100)/$R$17+(1-L48/100))</f>
        <v>2.2174684336846497</v>
      </c>
      <c r="M49" s="34"/>
      <c r="N49" s="34"/>
      <c r="O49" s="122">
        <f>1/((O48/100)/$R$17+(1-O48/100))</f>
        <v>2.00160128102482</v>
      </c>
      <c r="P49" s="34"/>
      <c r="Q49" s="34"/>
      <c r="R49" s="122">
        <f>1/((R48/100)/$R$17+(1-R48/100))</f>
        <v>2.390326209223847</v>
      </c>
      <c r="S49" s="34"/>
      <c r="T49" s="34"/>
      <c r="U49" s="122">
        <f>1/((U48/100)/$R$17+(1-U48/100))</f>
        <v>1.4763608573314346</v>
      </c>
      <c r="V49" s="35"/>
      <c r="X49" s="94"/>
      <c r="Y49" s="86"/>
      <c r="Z49" s="86"/>
      <c r="AA49" s="86"/>
      <c r="AB49" s="86"/>
      <c r="AC49" s="86"/>
      <c r="AD49" s="86"/>
      <c r="AE49" s="86"/>
      <c r="AF49" s="86"/>
      <c r="AG49" s="86"/>
      <c r="AH49" s="86"/>
      <c r="AI49" s="86"/>
      <c r="AJ49" s="86"/>
      <c r="AK49" s="86"/>
      <c r="AL49" s="86"/>
      <c r="AM49" s="86"/>
      <c r="AN49" s="89"/>
    </row>
    <row r="50" spans="2:40" ht="12.75">
      <c r="B50" s="46"/>
      <c r="C50" s="52" t="s">
        <v>130</v>
      </c>
      <c r="D50" s="34"/>
      <c r="E50" s="34"/>
      <c r="F50" s="34"/>
      <c r="G50" s="34"/>
      <c r="H50" s="34"/>
      <c r="I50" s="122">
        <f>Control_Panel!E10</f>
        <v>0</v>
      </c>
      <c r="J50" s="69"/>
      <c r="K50" s="69"/>
      <c r="L50" s="122">
        <f>Control_Panel!E11</f>
        <v>1</v>
      </c>
      <c r="M50" s="69"/>
      <c r="N50" s="69"/>
      <c r="O50" s="122">
        <f>Control_Panel!E12</f>
        <v>1</v>
      </c>
      <c r="P50" s="69"/>
      <c r="Q50" s="69"/>
      <c r="R50" s="122">
        <f>Control_Panel!E13</f>
        <v>1</v>
      </c>
      <c r="S50" s="69"/>
      <c r="T50" s="69"/>
      <c r="U50" s="122">
        <f>Control_Panel!E14</f>
        <v>1</v>
      </c>
      <c r="V50" s="35"/>
      <c r="X50" s="94"/>
      <c r="Y50" s="79" t="s">
        <v>106</v>
      </c>
      <c r="Z50" s="80">
        <f>(Z46*Y46+Z48*Y48)/(Y46+Y48)</f>
        <v>4.286184774728695</v>
      </c>
      <c r="AA50" s="86"/>
      <c r="AB50" s="86"/>
      <c r="AC50" s="86"/>
      <c r="AD50" s="86"/>
      <c r="AE50" s="86"/>
      <c r="AF50" s="86"/>
      <c r="AG50" s="86"/>
      <c r="AH50" s="86"/>
      <c r="AI50" s="86"/>
      <c r="AJ50" s="86"/>
      <c r="AK50" s="86"/>
      <c r="AL50" s="86"/>
      <c r="AM50" s="86"/>
      <c r="AN50" s="89"/>
    </row>
    <row r="51" spans="2:40" ht="13.5" thickBot="1">
      <c r="B51" s="72"/>
      <c r="C51" s="47"/>
      <c r="D51" s="47"/>
      <c r="E51" s="47"/>
      <c r="F51" s="47"/>
      <c r="G51" s="47"/>
      <c r="H51" s="47"/>
      <c r="I51" s="47"/>
      <c r="J51" s="47"/>
      <c r="K51" s="47"/>
      <c r="L51" s="47"/>
      <c r="M51" s="49"/>
      <c r="N51" s="49"/>
      <c r="O51" s="49"/>
      <c r="P51" s="47"/>
      <c r="Q51" s="47"/>
      <c r="R51" s="47"/>
      <c r="S51" s="47"/>
      <c r="T51" s="47"/>
      <c r="U51" s="116"/>
      <c r="V51" s="48"/>
      <c r="X51" s="118"/>
      <c r="Y51" s="87"/>
      <c r="Z51" s="87"/>
      <c r="AA51" s="87"/>
      <c r="AB51" s="87"/>
      <c r="AC51" s="87"/>
      <c r="AD51" s="87"/>
      <c r="AE51" s="87"/>
      <c r="AF51" s="87"/>
      <c r="AG51" s="87"/>
      <c r="AH51" s="87"/>
      <c r="AI51" s="87"/>
      <c r="AJ51" s="87"/>
      <c r="AK51" s="87"/>
      <c r="AL51" s="87"/>
      <c r="AM51" s="87"/>
      <c r="AN51" s="100"/>
    </row>
    <row r="52" ht="13.5" thickTop="1"/>
    <row r="54" spans="3:6" ht="12.75">
      <c r="C54" s="3"/>
      <c r="D54" s="3"/>
      <c r="E54" s="3"/>
      <c r="F54" s="3"/>
    </row>
    <row r="55" spans="3:6" ht="12.75">
      <c r="C55" s="1"/>
      <c r="D55" s="1"/>
      <c r="E55" s="4"/>
      <c r="F55" s="1"/>
    </row>
    <row r="58" spans="3:5" ht="12.75">
      <c r="C58" s="3"/>
      <c r="D58" s="3"/>
      <c r="E58" s="3"/>
    </row>
  </sheetData>
  <sheetProtection insertColumns="0" insertRows="0"/>
  <mergeCells count="18">
    <mergeCell ref="G21:U21"/>
    <mergeCell ref="Z13:AM13"/>
    <mergeCell ref="D3:T3"/>
    <mergeCell ref="F7:K7"/>
    <mergeCell ref="F8:K8"/>
    <mergeCell ref="I13:J13"/>
    <mergeCell ref="I11:J11"/>
    <mergeCell ref="I12:J12"/>
    <mergeCell ref="P10:R10"/>
    <mergeCell ref="Q11:R11"/>
    <mergeCell ref="AJ22:AL22"/>
    <mergeCell ref="AB22:AD22"/>
    <mergeCell ref="AF22:AH22"/>
    <mergeCell ref="G22:I22"/>
    <mergeCell ref="J22:L22"/>
    <mergeCell ref="P22:R22"/>
    <mergeCell ref="S22:U22"/>
    <mergeCell ref="M22:O22"/>
  </mergeCells>
  <dataValidations count="1">
    <dataValidation type="custom" allowBlank="1" showInputMessage="1" showErrorMessage="1" errorTitle="ERROR" error="¡NO INGRESAR DATOS DIRECTAMENTE!" sqref="L15">
      <formula1>"L13/(1-L14/100)"</formula1>
    </dataValidation>
  </dataValidations>
  <printOptions gridLines="1" horizontalCentered="1"/>
  <pageMargins left="0.25" right="0.25" top="1" bottom="1.5" header="0" footer="0.5"/>
  <pageSetup fitToHeight="1" fitToWidth="1" horizontalDpi="300" verticalDpi="300" orientation="landscape" scale="65"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B2:O31"/>
  <sheetViews>
    <sheetView zoomScalePageLayoutView="0" workbookViewId="0" topLeftCell="A1">
      <selection activeCell="A1" sqref="A1"/>
    </sheetView>
  </sheetViews>
  <sheetFormatPr defaultColWidth="9.140625" defaultRowHeight="12.75"/>
  <cols>
    <col min="1" max="2" width="1.7109375" style="0" customWidth="1"/>
    <col min="3" max="14" width="9.140625" style="0" customWidth="1"/>
    <col min="15" max="15" width="1.7109375" style="0" customWidth="1"/>
  </cols>
  <sheetData>
    <row r="1" ht="7.5" customHeight="1" thickBot="1"/>
    <row r="2" spans="2:15" ht="24.75" customHeight="1" thickTop="1">
      <c r="B2" s="66"/>
      <c r="C2" s="143" t="s">
        <v>208</v>
      </c>
      <c r="D2" s="67"/>
      <c r="E2" s="67"/>
      <c r="F2" s="67"/>
      <c r="G2" s="67"/>
      <c r="H2" s="67"/>
      <c r="I2" s="67"/>
      <c r="J2" s="67"/>
      <c r="K2" s="149"/>
      <c r="L2" s="149"/>
      <c r="M2" s="149"/>
      <c r="N2" s="150"/>
      <c r="O2" s="68"/>
    </row>
    <row r="3" spans="2:15" ht="12.75">
      <c r="B3" s="46"/>
      <c r="C3" s="52"/>
      <c r="D3" s="34"/>
      <c r="E3" s="34"/>
      <c r="F3" s="34"/>
      <c r="G3" s="34"/>
      <c r="H3" s="153" t="s">
        <v>212</v>
      </c>
      <c r="I3" s="183">
        <f>Data_File!T5</f>
        <v>1</v>
      </c>
      <c r="J3" s="34"/>
      <c r="K3" s="34"/>
      <c r="L3" s="34"/>
      <c r="M3" s="34"/>
      <c r="N3" s="34"/>
      <c r="O3" s="35"/>
    </row>
    <row r="4" spans="2:15" ht="7.5" customHeight="1">
      <c r="B4" s="46"/>
      <c r="C4" s="52"/>
      <c r="D4" s="34"/>
      <c r="E4" s="34"/>
      <c r="F4" s="34"/>
      <c r="G4" s="34"/>
      <c r="H4" s="34"/>
      <c r="I4" s="34"/>
      <c r="J4" s="34"/>
      <c r="K4" s="34"/>
      <c r="L4" s="34"/>
      <c r="M4" s="34"/>
      <c r="N4" s="34"/>
      <c r="O4" s="35"/>
    </row>
    <row r="5" spans="2:15" ht="12.75">
      <c r="B5" s="46"/>
      <c r="C5" s="52" t="s">
        <v>44</v>
      </c>
      <c r="D5" s="34"/>
      <c r="E5" s="226">
        <f>Data_File!F7</f>
        <v>0</v>
      </c>
      <c r="F5" s="227"/>
      <c r="G5" s="227"/>
      <c r="H5" s="227"/>
      <c r="I5" s="227"/>
      <c r="J5" s="227"/>
      <c r="K5" s="227"/>
      <c r="L5" s="228"/>
      <c r="M5" s="34"/>
      <c r="N5" s="34"/>
      <c r="O5" s="35"/>
    </row>
    <row r="6" spans="2:15" ht="12.75">
      <c r="B6" s="46"/>
      <c r="C6" s="34"/>
      <c r="D6" s="34"/>
      <c r="E6" s="229" t="str">
        <f>Data_File!F8</f>
        <v> </v>
      </c>
      <c r="F6" s="230"/>
      <c r="G6" s="230"/>
      <c r="H6" s="230"/>
      <c r="I6" s="230"/>
      <c r="J6" s="230"/>
      <c r="K6" s="230"/>
      <c r="L6" s="231"/>
      <c r="M6" s="34"/>
      <c r="N6" s="34"/>
      <c r="O6" s="35"/>
    </row>
    <row r="7" spans="2:15" ht="12.75">
      <c r="B7" s="46"/>
      <c r="C7" s="34"/>
      <c r="D7" s="34"/>
      <c r="E7" s="34"/>
      <c r="F7" s="34"/>
      <c r="G7" s="34"/>
      <c r="H7" s="34"/>
      <c r="I7" s="34"/>
      <c r="J7" s="34"/>
      <c r="K7" s="34"/>
      <c r="L7" s="34"/>
      <c r="M7" s="34"/>
      <c r="N7" s="34"/>
      <c r="O7" s="35"/>
    </row>
    <row r="8" spans="2:15" ht="12.75">
      <c r="B8" s="46"/>
      <c r="C8" s="34"/>
      <c r="D8" s="34"/>
      <c r="E8" s="83"/>
      <c r="F8" s="172">
        <f>Reports!J19</f>
        <v>45.68021279111116</v>
      </c>
      <c r="G8" s="151" t="s">
        <v>153</v>
      </c>
      <c r="H8" s="83"/>
      <c r="I8" s="83"/>
      <c r="J8" s="83"/>
      <c r="K8" s="83"/>
      <c r="L8" s="34"/>
      <c r="M8" s="34"/>
      <c r="N8" s="34"/>
      <c r="O8" s="35"/>
    </row>
    <row r="9" spans="2:15" ht="12.75">
      <c r="B9" s="46"/>
      <c r="C9" s="34"/>
      <c r="D9" s="34"/>
      <c r="E9" s="83"/>
      <c r="F9" s="172">
        <f>Reports!J41</f>
        <v>39.10319693535503</v>
      </c>
      <c r="G9" s="151" t="s">
        <v>170</v>
      </c>
      <c r="H9" s="83"/>
      <c r="I9" s="83"/>
      <c r="J9" s="83"/>
      <c r="K9" s="83"/>
      <c r="L9" s="34"/>
      <c r="M9" s="34"/>
      <c r="N9" s="34"/>
      <c r="O9" s="35"/>
    </row>
    <row r="10" spans="2:15" ht="12.75">
      <c r="B10" s="46"/>
      <c r="C10" s="34"/>
      <c r="D10" s="83"/>
      <c r="E10" s="83"/>
      <c r="F10" s="173">
        <f>Reports!J45</f>
        <v>202.12055955947315</v>
      </c>
      <c r="G10" s="82" t="s">
        <v>154</v>
      </c>
      <c r="H10" s="83"/>
      <c r="I10" s="83"/>
      <c r="J10" s="83"/>
      <c r="K10" s="83"/>
      <c r="L10" s="172">
        <f>Reports!J60</f>
        <v>9.6</v>
      </c>
      <c r="M10" s="151" t="s">
        <v>163</v>
      </c>
      <c r="N10" s="34"/>
      <c r="O10" s="35"/>
    </row>
    <row r="11" spans="2:15" ht="12.75">
      <c r="B11" s="46"/>
      <c r="C11" s="34"/>
      <c r="D11" s="83"/>
      <c r="E11" s="83"/>
      <c r="F11" s="34"/>
      <c r="G11" s="34"/>
      <c r="H11" s="34"/>
      <c r="I11" s="34"/>
      <c r="J11" s="34"/>
      <c r="K11" s="34"/>
      <c r="L11" s="34"/>
      <c r="M11" s="34"/>
      <c r="N11" s="34"/>
      <c r="O11" s="35"/>
    </row>
    <row r="12" spans="2:15" ht="12.75">
      <c r="B12" s="46"/>
      <c r="C12" s="34"/>
      <c r="D12" s="83"/>
      <c r="E12" s="83"/>
      <c r="F12" s="34"/>
      <c r="G12" s="34"/>
      <c r="H12" s="34"/>
      <c r="I12" s="34"/>
      <c r="J12" s="34"/>
      <c r="K12" s="34"/>
      <c r="L12" s="34"/>
      <c r="M12" s="34"/>
      <c r="N12" s="34"/>
      <c r="O12" s="35"/>
    </row>
    <row r="13" spans="2:15" ht="12.75">
      <c r="B13" s="46"/>
      <c r="C13" s="34"/>
      <c r="D13" s="83"/>
      <c r="E13" s="83"/>
      <c r="F13" s="34"/>
      <c r="G13" s="34"/>
      <c r="H13" s="34"/>
      <c r="I13" s="151" t="s">
        <v>156</v>
      </c>
      <c r="J13" s="176">
        <f>Reports!J63/100</f>
        <v>0.030864224825425387</v>
      </c>
      <c r="K13" s="83"/>
      <c r="L13" s="83"/>
      <c r="M13" s="34"/>
      <c r="N13" s="34"/>
      <c r="O13" s="35"/>
    </row>
    <row r="14" spans="2:15" ht="12.75">
      <c r="B14" s="46"/>
      <c r="C14" s="34"/>
      <c r="D14" s="83"/>
      <c r="E14" s="83"/>
      <c r="F14" s="34"/>
      <c r="G14" s="83"/>
      <c r="H14" s="83"/>
      <c r="I14" s="151" t="s">
        <v>157</v>
      </c>
      <c r="J14" s="176">
        <f>Reports!J62/100</f>
        <v>0.4254697584868229</v>
      </c>
      <c r="K14" s="83"/>
      <c r="L14" s="178">
        <f>Reports!D58</f>
        <v>11</v>
      </c>
      <c r="M14" s="151" t="s">
        <v>164</v>
      </c>
      <c r="N14" s="34"/>
      <c r="O14" s="35"/>
    </row>
    <row r="15" spans="2:15" ht="12.75">
      <c r="B15" s="46"/>
      <c r="C15" s="34"/>
      <c r="D15" s="83"/>
      <c r="E15" s="83"/>
      <c r="F15" s="34"/>
      <c r="G15" s="83"/>
      <c r="H15" s="83"/>
      <c r="I15" s="34"/>
      <c r="J15" s="34"/>
      <c r="K15" s="34"/>
      <c r="L15" s="172">
        <f>Reports!D63</f>
        <v>8</v>
      </c>
      <c r="M15" s="151" t="s">
        <v>165</v>
      </c>
      <c r="N15" s="34"/>
      <c r="O15" s="35"/>
    </row>
    <row r="16" spans="2:15" ht="12.75">
      <c r="B16" s="46"/>
      <c r="C16" s="34"/>
      <c r="D16" s="83"/>
      <c r="E16" s="83"/>
      <c r="F16" s="34"/>
      <c r="G16" s="34"/>
      <c r="H16" s="34"/>
      <c r="I16" s="34"/>
      <c r="J16" s="34"/>
      <c r="K16" s="34"/>
      <c r="L16" s="172">
        <f>Reports!D64</f>
        <v>5.25</v>
      </c>
      <c r="M16" s="151" t="s">
        <v>166</v>
      </c>
      <c r="N16" s="34"/>
      <c r="O16" s="35"/>
    </row>
    <row r="17" spans="2:15" ht="12.75">
      <c r="B17" s="46"/>
      <c r="C17" s="153" t="s">
        <v>171</v>
      </c>
      <c r="D17" s="173">
        <f>Reports!D13</f>
        <v>1668.2</v>
      </c>
      <c r="E17" s="83"/>
      <c r="F17" s="34"/>
      <c r="G17" s="34"/>
      <c r="H17" s="34"/>
      <c r="I17" s="34"/>
      <c r="J17" s="34"/>
      <c r="K17" s="34"/>
      <c r="L17" s="34"/>
      <c r="M17" s="36"/>
      <c r="N17" s="34"/>
      <c r="O17" s="35"/>
    </row>
    <row r="18" spans="2:15" ht="12.75">
      <c r="B18" s="46"/>
      <c r="C18" s="152" t="s">
        <v>159</v>
      </c>
      <c r="D18" s="174">
        <f>Reports!D45</f>
        <v>2553.963401460722</v>
      </c>
      <c r="E18" s="83"/>
      <c r="F18" s="34"/>
      <c r="G18" s="34"/>
      <c r="H18" s="34"/>
      <c r="I18" s="34"/>
      <c r="J18" s="34"/>
      <c r="K18" s="34"/>
      <c r="L18" s="172">
        <f>Reports!I19</f>
        <v>82.44126200607276</v>
      </c>
      <c r="M18" s="151" t="s">
        <v>167</v>
      </c>
      <c r="N18" s="34"/>
      <c r="O18" s="35"/>
    </row>
    <row r="19" spans="2:15" ht="12.75">
      <c r="B19" s="46"/>
      <c r="C19" s="34"/>
      <c r="D19" s="34"/>
      <c r="E19" s="34"/>
      <c r="F19" s="34"/>
      <c r="G19" s="34"/>
      <c r="H19" s="34"/>
      <c r="I19" s="34"/>
      <c r="J19" s="34"/>
      <c r="K19" s="34"/>
      <c r="L19" s="83"/>
      <c r="M19" s="83"/>
      <c r="N19" s="34"/>
      <c r="O19" s="35"/>
    </row>
    <row r="20" spans="2:15" ht="12.75">
      <c r="B20" s="46"/>
      <c r="C20" s="34"/>
      <c r="D20" s="34"/>
      <c r="E20" s="34"/>
      <c r="F20" s="34"/>
      <c r="G20" s="34"/>
      <c r="H20" s="34"/>
      <c r="I20" s="34"/>
      <c r="J20" s="34"/>
      <c r="K20" s="34"/>
      <c r="L20" s="83"/>
      <c r="M20" s="83"/>
      <c r="N20" s="34"/>
      <c r="O20" s="35"/>
    </row>
    <row r="21" spans="2:15" ht="14.25">
      <c r="B21" s="46"/>
      <c r="C21" s="152" t="s">
        <v>169</v>
      </c>
      <c r="D21" s="34"/>
      <c r="E21" s="83"/>
      <c r="F21" s="83"/>
      <c r="G21" s="34"/>
      <c r="H21" s="34"/>
      <c r="I21" s="34"/>
      <c r="J21" s="34"/>
      <c r="K21" s="34"/>
      <c r="L21" s="170">
        <f>Reports!F14-Reports!E14</f>
        <v>501.3905443904405</v>
      </c>
      <c r="M21" s="151" t="s">
        <v>200</v>
      </c>
      <c r="N21" s="34"/>
      <c r="O21" s="35"/>
    </row>
    <row r="22" spans="2:15" ht="14.25">
      <c r="B22" s="46"/>
      <c r="C22" s="151" t="s">
        <v>168</v>
      </c>
      <c r="D22" s="170">
        <f>Reports!G14</f>
        <v>1108.6584236398185</v>
      </c>
      <c r="E22" s="83"/>
      <c r="F22" s="83"/>
      <c r="G22" s="34"/>
      <c r="H22" s="34"/>
      <c r="I22" s="34"/>
      <c r="J22" s="34"/>
      <c r="K22" s="34"/>
      <c r="L22" s="34"/>
      <c r="M22" s="34"/>
      <c r="N22" s="34"/>
      <c r="O22" s="35"/>
    </row>
    <row r="23" spans="2:15" ht="12.75">
      <c r="B23" s="46"/>
      <c r="C23" s="83"/>
      <c r="D23" s="83"/>
      <c r="E23" s="34"/>
      <c r="F23" s="34"/>
      <c r="G23" s="34"/>
      <c r="H23" s="34"/>
      <c r="I23" s="34"/>
      <c r="J23" s="34"/>
      <c r="K23" s="34"/>
      <c r="L23" s="34"/>
      <c r="M23" s="34"/>
      <c r="N23" s="34"/>
      <c r="O23" s="35"/>
    </row>
    <row r="24" spans="2:15" ht="12.75">
      <c r="B24" s="46"/>
      <c r="C24" s="34"/>
      <c r="D24" s="34"/>
      <c r="E24" s="34"/>
      <c r="F24" s="34"/>
      <c r="G24" s="34"/>
      <c r="H24" s="34"/>
      <c r="I24" s="153" t="s">
        <v>203</v>
      </c>
      <c r="J24" s="177">
        <f>Reports!J110</f>
        <v>8355.143547058105</v>
      </c>
      <c r="K24" s="34"/>
      <c r="L24" s="83"/>
      <c r="M24" s="83"/>
      <c r="N24" s="34"/>
      <c r="O24" s="35"/>
    </row>
    <row r="25" spans="2:15" ht="12.75">
      <c r="B25" s="46"/>
      <c r="C25" s="34"/>
      <c r="D25" s="34"/>
      <c r="E25" s="34"/>
      <c r="F25" s="34"/>
      <c r="G25" s="34"/>
      <c r="H25" s="83"/>
      <c r="I25" s="74" t="s">
        <v>201</v>
      </c>
      <c r="J25" s="171">
        <f>Reports!D115</f>
        <v>34</v>
      </c>
      <c r="K25" s="34"/>
      <c r="L25" s="152" t="s">
        <v>155</v>
      </c>
      <c r="M25" s="172">
        <f>Reports!J65</f>
        <v>413.4634058114852</v>
      </c>
      <c r="N25" s="34"/>
      <c r="O25" s="35"/>
    </row>
    <row r="26" spans="2:15" ht="14.25">
      <c r="B26" s="46"/>
      <c r="C26" s="34"/>
      <c r="D26" s="83"/>
      <c r="E26" s="83"/>
      <c r="F26" s="34"/>
      <c r="G26" s="34"/>
      <c r="H26" s="83"/>
      <c r="I26" s="74" t="s">
        <v>162</v>
      </c>
      <c r="J26" s="171">
        <f>Reports!D112</f>
        <v>65.2</v>
      </c>
      <c r="K26" s="34"/>
      <c r="L26" s="151" t="s">
        <v>168</v>
      </c>
      <c r="M26" s="178">
        <f>Reports!H16</f>
        <v>5972.043345493221</v>
      </c>
      <c r="N26" s="34"/>
      <c r="O26" s="35"/>
    </row>
    <row r="27" spans="2:15" ht="12.75">
      <c r="B27" s="46"/>
      <c r="C27" s="34"/>
      <c r="D27" s="83"/>
      <c r="E27" s="83"/>
      <c r="F27" s="34"/>
      <c r="G27" s="52"/>
      <c r="H27" s="83"/>
      <c r="I27" s="74" t="s">
        <v>158</v>
      </c>
      <c r="J27" s="171">
        <f>Reports!F19</f>
        <v>77.78</v>
      </c>
      <c r="K27" s="34"/>
      <c r="L27" s="152" t="s">
        <v>158</v>
      </c>
      <c r="M27" s="172">
        <f>Reports!H19</f>
        <v>71.27100499567764</v>
      </c>
      <c r="N27" s="34"/>
      <c r="O27" s="35"/>
    </row>
    <row r="28" spans="2:15" ht="12.75">
      <c r="B28" s="46"/>
      <c r="C28" s="34"/>
      <c r="D28" s="34"/>
      <c r="E28" s="34"/>
      <c r="F28" s="34"/>
      <c r="G28" s="34"/>
      <c r="H28" s="34"/>
      <c r="I28" s="34"/>
      <c r="J28" s="34"/>
      <c r="K28" s="34"/>
      <c r="L28" s="34"/>
      <c r="M28" s="34"/>
      <c r="N28" s="34"/>
      <c r="O28" s="35"/>
    </row>
    <row r="29" spans="2:15" ht="12.75">
      <c r="B29" s="46"/>
      <c r="C29" s="152" t="s">
        <v>160</v>
      </c>
      <c r="D29" s="175">
        <f>Reports!E47</f>
        <v>5.008478328172944</v>
      </c>
      <c r="E29" s="34"/>
      <c r="F29" s="34"/>
      <c r="G29" s="34"/>
      <c r="H29" s="34"/>
      <c r="I29" s="34"/>
      <c r="J29" s="34"/>
      <c r="K29" s="34"/>
      <c r="L29" s="34"/>
      <c r="M29" s="34"/>
      <c r="N29" s="34"/>
      <c r="O29" s="35"/>
    </row>
    <row r="30" spans="2:15" ht="12.75">
      <c r="B30" s="46"/>
      <c r="C30" s="152" t="s">
        <v>161</v>
      </c>
      <c r="D30" s="175">
        <f>Reports!E48</f>
        <v>9.907736088427356</v>
      </c>
      <c r="E30" s="34"/>
      <c r="F30" s="34"/>
      <c r="G30" s="34"/>
      <c r="H30" s="83"/>
      <c r="I30" s="83"/>
      <c r="J30" s="34"/>
      <c r="K30" s="34"/>
      <c r="L30" s="83"/>
      <c r="M30" s="83"/>
      <c r="N30" s="34"/>
      <c r="O30" s="35"/>
    </row>
    <row r="31" spans="2:15" ht="13.5" thickBot="1">
      <c r="B31" s="72"/>
      <c r="C31" s="47"/>
      <c r="D31" s="47"/>
      <c r="E31" s="47"/>
      <c r="F31" s="47"/>
      <c r="G31" s="47"/>
      <c r="H31" s="47"/>
      <c r="I31" s="47"/>
      <c r="J31" s="47"/>
      <c r="K31" s="47"/>
      <c r="L31" s="47"/>
      <c r="M31" s="47"/>
      <c r="N31" s="47"/>
      <c r="O31" s="48"/>
    </row>
    <row r="32" ht="13.5" thickTop="1"/>
  </sheetData>
  <sheetProtection password="CD50" sheet="1" objects="1" scenarios="1" insertColumns="0" insertRows="0"/>
  <mergeCells count="2">
    <mergeCell ref="E5:L5"/>
    <mergeCell ref="E6:L6"/>
  </mergeCells>
  <printOptions horizontalCentered="1" verticalCentered="1"/>
  <pageMargins left="0.25" right="0.25" top="1" bottom="1.5" header="0" footer="0.5"/>
  <pageSetup horizontalDpi="300" verticalDpi="300" orientation="landscape" r:id="rId2"/>
  <headerFooter alignWithMargins="0">
    <oddFooter>&amp;L&amp;"Arial,Bold"Moly-Cop Tools&amp;"Arial,Regular" / &amp;F / &amp;A&amp;R&amp;D   /   &amp;T</oddFooter>
  </headerFooter>
  <drawing r:id="rId1"/>
</worksheet>
</file>

<file path=xl/worksheets/sheet5.xml><?xml version="1.0" encoding="utf-8"?>
<worksheet xmlns="http://schemas.openxmlformats.org/spreadsheetml/2006/main" xmlns:r="http://schemas.openxmlformats.org/officeDocument/2006/relationships">
  <sheetPr codeName="Sheet2"/>
  <dimension ref="A1:S143"/>
  <sheetViews>
    <sheetView tabSelected="1" zoomScalePageLayoutView="0" workbookViewId="0" topLeftCell="A55">
      <selection activeCell="J62" sqref="J62"/>
    </sheetView>
  </sheetViews>
  <sheetFormatPr defaultColWidth="9.140625" defaultRowHeight="12.75"/>
  <cols>
    <col min="1" max="10" width="9.7109375" style="0" customWidth="1"/>
  </cols>
  <sheetData>
    <row r="1" spans="2:10" ht="19.5">
      <c r="B1" s="144"/>
      <c r="E1" s="232" t="s">
        <v>213</v>
      </c>
      <c r="F1" s="232"/>
      <c r="G1" s="232"/>
      <c r="I1" s="25" t="s">
        <v>102</v>
      </c>
      <c r="J1" s="179">
        <f>Data_File!T5</f>
        <v>1</v>
      </c>
    </row>
    <row r="2" spans="2:10" ht="15.75">
      <c r="B2" s="236" t="s">
        <v>125</v>
      </c>
      <c r="C2" s="236"/>
      <c r="D2" s="236"/>
      <c r="E2" s="236"/>
      <c r="F2" s="236"/>
      <c r="G2" s="236"/>
      <c r="H2" s="236"/>
      <c r="I2" s="236"/>
      <c r="J2" s="236"/>
    </row>
    <row r="3" spans="2:10" ht="12.75">
      <c r="B3" s="232" t="s">
        <v>126</v>
      </c>
      <c r="C3" s="232"/>
      <c r="D3" s="232"/>
      <c r="E3" s="232"/>
      <c r="F3" s="232"/>
      <c r="G3" s="232"/>
      <c r="H3" s="232"/>
      <c r="I3" s="232"/>
      <c r="J3" s="232"/>
    </row>
    <row r="5" spans="2:10" ht="12.75">
      <c r="B5" t="s">
        <v>90</v>
      </c>
      <c r="C5" s="37">
        <f>Data_File!F7</f>
        <v>0</v>
      </c>
      <c r="D5" s="38"/>
      <c r="E5" s="38"/>
      <c r="F5" s="38"/>
      <c r="G5" s="38"/>
      <c r="H5" s="38"/>
      <c r="I5" s="38"/>
      <c r="J5" s="39"/>
    </row>
    <row r="6" spans="3:10" ht="12.75">
      <c r="C6" s="40" t="str">
        <f>Data_File!F8</f>
        <v> </v>
      </c>
      <c r="D6" s="41"/>
      <c r="E6" s="41"/>
      <c r="F6" s="41"/>
      <c r="G6" s="41"/>
      <c r="H6" s="41"/>
      <c r="I6" s="41"/>
      <c r="J6" s="42"/>
    </row>
    <row r="8" spans="1:10" ht="16.5">
      <c r="A8" s="31"/>
      <c r="B8" s="233" t="s">
        <v>173</v>
      </c>
      <c r="C8" s="233"/>
      <c r="D8" s="233"/>
      <c r="E8" s="233"/>
      <c r="F8" s="233"/>
      <c r="G8" s="233"/>
      <c r="H8" s="233"/>
      <c r="I8" s="233"/>
      <c r="J8" s="233"/>
    </row>
    <row r="9" spans="1:10" ht="12.75">
      <c r="A9" s="27"/>
      <c r="B9" s="239" t="s">
        <v>129</v>
      </c>
      <c r="C9" s="239"/>
      <c r="D9" s="239"/>
      <c r="E9" s="239"/>
      <c r="F9" s="239"/>
      <c r="G9" s="239"/>
      <c r="H9" s="239"/>
      <c r="I9" s="239"/>
      <c r="J9" s="239"/>
    </row>
    <row r="10" spans="4:10" ht="12.75">
      <c r="D10" s="9"/>
      <c r="E10" s="9"/>
      <c r="F10" s="9"/>
      <c r="G10" s="9"/>
      <c r="H10" s="9"/>
      <c r="I10" s="9"/>
      <c r="J10" s="9"/>
    </row>
    <row r="11" spans="2:10" ht="15" customHeight="1">
      <c r="B11" s="19"/>
      <c r="C11" s="19"/>
      <c r="D11" s="20" t="s">
        <v>6</v>
      </c>
      <c r="E11" s="20" t="s">
        <v>4</v>
      </c>
      <c r="F11" s="20" t="s">
        <v>4</v>
      </c>
      <c r="G11" s="20" t="s">
        <v>11</v>
      </c>
      <c r="H11" s="20" t="s">
        <v>8</v>
      </c>
      <c r="I11" s="20" t="s">
        <v>8</v>
      </c>
      <c r="J11" s="20" t="s">
        <v>8</v>
      </c>
    </row>
    <row r="12" spans="2:10" ht="15" customHeight="1">
      <c r="B12" s="21"/>
      <c r="C12" s="21"/>
      <c r="D12" s="22" t="s">
        <v>5</v>
      </c>
      <c r="E12" s="22" t="s">
        <v>5</v>
      </c>
      <c r="F12" s="22" t="s">
        <v>7</v>
      </c>
      <c r="G12" s="22" t="s">
        <v>12</v>
      </c>
      <c r="H12" s="22" t="s">
        <v>5</v>
      </c>
      <c r="I12" s="22" t="s">
        <v>9</v>
      </c>
      <c r="J12" s="22" t="s">
        <v>10</v>
      </c>
    </row>
    <row r="13" spans="2:10" ht="12.75">
      <c r="B13" t="s">
        <v>91</v>
      </c>
      <c r="D13" s="4">
        <f>Data_File!R15</f>
        <v>1668.2</v>
      </c>
      <c r="E13" s="4">
        <f aca="true" t="shared" si="0" ref="E13:E19">I13</f>
        <v>6897.396535747196</v>
      </c>
      <c r="F13" s="4">
        <f>E13</f>
        <v>6897.396535747196</v>
      </c>
      <c r="G13" s="4">
        <v>0</v>
      </c>
      <c r="H13" s="4">
        <f>D13*(1+C!E8)</f>
        <v>8565.596535747196</v>
      </c>
      <c r="I13" s="4">
        <f>J13*C!E8</f>
        <v>6897.396535747196</v>
      </c>
      <c r="J13" s="4">
        <f>D13</f>
        <v>1668.2</v>
      </c>
    </row>
    <row r="14" spans="2:10" ht="12.75">
      <c r="B14" t="s">
        <v>92</v>
      </c>
      <c r="D14" s="4">
        <f>D15-D13</f>
        <v>373.66046511627906</v>
      </c>
      <c r="E14" s="4">
        <f t="shared" si="0"/>
        <v>1469.0408135975076</v>
      </c>
      <c r="F14" s="4">
        <f>F15-F13</f>
        <v>1970.431357987948</v>
      </c>
      <c r="G14" s="4">
        <f>J14-D14-(F14-E14)</f>
        <v>1108.6584236398185</v>
      </c>
      <c r="H14" s="4">
        <f>I14+J14</f>
        <v>3452.7502467440454</v>
      </c>
      <c r="I14" s="4">
        <f>I15-I13</f>
        <v>1469.0408135975076</v>
      </c>
      <c r="J14" s="4">
        <f>J15-J13</f>
        <v>1983.709433146538</v>
      </c>
    </row>
    <row r="15" spans="2:10" ht="12.75">
      <c r="B15" t="s">
        <v>93</v>
      </c>
      <c r="D15" s="4">
        <f>D13/D19*100</f>
        <v>2041.860465116279</v>
      </c>
      <c r="E15" s="4">
        <f t="shared" si="0"/>
        <v>8366.437349344704</v>
      </c>
      <c r="F15" s="4">
        <f>F13/F19*100</f>
        <v>8867.827893735144</v>
      </c>
      <c r="G15" s="4">
        <f>G14</f>
        <v>1108.6584236398185</v>
      </c>
      <c r="H15" s="4">
        <f>I15+J15</f>
        <v>12018.346782491242</v>
      </c>
      <c r="I15" s="4">
        <f>I13/I19*100</f>
        <v>8366.437349344704</v>
      </c>
      <c r="J15" s="4">
        <f>J13/J19*100</f>
        <v>3651.909433146538</v>
      </c>
    </row>
    <row r="16" spans="2:10" ht="12.75">
      <c r="B16" t="s">
        <v>94</v>
      </c>
      <c r="D16" s="4">
        <f>D13/Data_File!$R$17+D14</f>
        <v>864.3075239398086</v>
      </c>
      <c r="E16" s="4">
        <f t="shared" si="0"/>
        <v>3497.6868535231533</v>
      </c>
      <c r="F16" s="4">
        <f>F13/Data_File!$R$17+F14</f>
        <v>3999.077397913594</v>
      </c>
      <c r="G16" s="4">
        <f>G13/Data_File!$R$17+G14</f>
        <v>1108.6584236398185</v>
      </c>
      <c r="H16" s="4">
        <f>I16+J16</f>
        <v>5972.043345493221</v>
      </c>
      <c r="I16" s="4">
        <f>I13/Data_File!$R$17+I14</f>
        <v>3497.6868535231533</v>
      </c>
      <c r="J16" s="4">
        <f>J13/Data_File!$R$17+J14</f>
        <v>2474.3564919700675</v>
      </c>
    </row>
    <row r="17" spans="2:10" ht="12.75">
      <c r="B17" t="s">
        <v>95</v>
      </c>
      <c r="D17" s="1">
        <f>D15/D16</f>
        <v>2.362423568649249</v>
      </c>
      <c r="E17" s="1">
        <f t="shared" si="0"/>
        <v>2.3919915360396975</v>
      </c>
      <c r="F17" s="1">
        <f>F15/F16</f>
        <v>2.21746843368465</v>
      </c>
      <c r="G17" s="1">
        <f>G15/G16</f>
        <v>1</v>
      </c>
      <c r="H17" s="1">
        <f>H15/H16</f>
        <v>2.012434620314811</v>
      </c>
      <c r="I17" s="1">
        <f>I15/I16</f>
        <v>2.3919915360396975</v>
      </c>
      <c r="J17" s="1">
        <f>J15/J16</f>
        <v>1.4759027023785527</v>
      </c>
    </row>
    <row r="18" spans="2:10" ht="12.75">
      <c r="B18" t="s">
        <v>96</v>
      </c>
      <c r="D18" s="4">
        <f>D13/Data_File!R17/D16*100</f>
        <v>56.76764869371873</v>
      </c>
      <c r="E18" s="4">
        <f t="shared" si="0"/>
        <v>57.999647334987394</v>
      </c>
      <c r="F18" s="4">
        <f>F13/Data_File!$R$17/F16*100</f>
        <v>50.727851403527104</v>
      </c>
      <c r="G18" s="4">
        <v>0</v>
      </c>
      <c r="H18" s="4">
        <f>H13/Data_File!R17/H16*100</f>
        <v>42.18477584645044</v>
      </c>
      <c r="I18" s="4">
        <f>I13/Data_File!R17/I16*100</f>
        <v>57.999647334987394</v>
      </c>
      <c r="J18" s="4">
        <f>J13/Data_File!R17/J16*100</f>
        <v>19.829279265773028</v>
      </c>
    </row>
    <row r="19" spans="2:10" ht="12.75">
      <c r="B19" s="9" t="s">
        <v>97</v>
      </c>
      <c r="C19" s="9"/>
      <c r="D19" s="10">
        <f>Data_File!I48</f>
        <v>81.7</v>
      </c>
      <c r="E19" s="10">
        <f t="shared" si="0"/>
        <v>82.44126200607276</v>
      </c>
      <c r="F19" s="10">
        <f>Data_File!L48</f>
        <v>77.78</v>
      </c>
      <c r="G19" s="10">
        <v>0</v>
      </c>
      <c r="H19" s="10">
        <f>C!H15</f>
        <v>71.27100499567764</v>
      </c>
      <c r="I19" s="10">
        <f>C!I15</f>
        <v>82.44126200607276</v>
      </c>
      <c r="J19" s="10">
        <f>C!J15</f>
        <v>45.68021279111116</v>
      </c>
    </row>
    <row r="21" spans="4:10" ht="15.75">
      <c r="D21" s="236" t="s">
        <v>98</v>
      </c>
      <c r="E21" s="236"/>
      <c r="F21" s="236"/>
      <c r="G21" s="236"/>
      <c r="H21" s="236"/>
      <c r="I21" s="236"/>
      <c r="J21" s="236"/>
    </row>
    <row r="22" spans="1:3" ht="12.75">
      <c r="A22" s="2" t="s">
        <v>2</v>
      </c>
      <c r="B22" s="3" t="s">
        <v>0</v>
      </c>
      <c r="C22" s="3" t="s">
        <v>1</v>
      </c>
    </row>
    <row r="23" spans="1:3" ht="12.75">
      <c r="A23" s="3"/>
      <c r="B23" s="3"/>
      <c r="C23" s="3"/>
    </row>
    <row r="24" spans="1:19" ht="12.75">
      <c r="A24" s="15">
        <v>1</v>
      </c>
      <c r="B24" t="str">
        <f>Data_File!D25</f>
        <v>3/4"</v>
      </c>
      <c r="C24">
        <f>Data_File!E25</f>
        <v>19050</v>
      </c>
      <c r="D24" s="5">
        <f>Data_File!I25</f>
        <v>100</v>
      </c>
      <c r="E24" s="5">
        <f>I24</f>
        <v>99.99999999999999</v>
      </c>
      <c r="F24" s="5">
        <f>((1+$J$65/100)*H24-D24)/($J$65/100)</f>
        <v>99.99999999999996</v>
      </c>
      <c r="G24" s="5">
        <v>0</v>
      </c>
      <c r="H24" s="5">
        <f>C!P21</f>
        <v>99.99999999999997</v>
      </c>
      <c r="I24" s="5">
        <f>C!Q21</f>
        <v>99.99999999999999</v>
      </c>
      <c r="J24" s="5">
        <f>C!R21</f>
        <v>100.00000000000001</v>
      </c>
      <c r="M24" s="145">
        <f>IF(D24&gt;80,IF(D25&lt;80,$C25*EXP(LN(80/D25)*LN($C24/$C25)/LN(D24/D25)),0),0)</f>
        <v>0</v>
      </c>
      <c r="N24" s="145">
        <f aca="true" t="shared" si="1" ref="N24:P39">IF(E24&gt;80,IF(E25&lt;80,$C25*EXP(LN(80/E25)*LN($C24/$C25)/LN(E24/E25)),0),0)</f>
        <v>0</v>
      </c>
      <c r="O24" s="145">
        <f t="shared" si="1"/>
        <v>0</v>
      </c>
      <c r="P24" s="145">
        <f t="shared" si="1"/>
        <v>0</v>
      </c>
      <c r="Q24" s="145">
        <f>IF(H24&gt;80,IF(H25&lt;80,$C25*EXP(LN(80/H25)*LN($C24/$C25)/LN(H24/H25)),0),0)</f>
        <v>0</v>
      </c>
      <c r="R24" s="145">
        <f>IF(I24&gt;80,IF(I25&lt;80,$C25*EXP(LN(80/I25)*LN($C24/$C25)/LN(I24/I25)),0),0)</f>
        <v>0</v>
      </c>
      <c r="S24" s="145">
        <f>IF(J24&gt;80,IF(J25&lt;80,$C25*EXP(LN(80/J25)*LN($C24/$C25)/LN(J24/J25)),0),0)</f>
        <v>0</v>
      </c>
    </row>
    <row r="25" spans="1:19" ht="12.75">
      <c r="A25" s="15">
        <v>2</v>
      </c>
      <c r="B25" t="str">
        <f>Data_File!D26</f>
        <v>1/2"</v>
      </c>
      <c r="C25">
        <f>Data_File!E26</f>
        <v>12700</v>
      </c>
      <c r="D25" s="5">
        <f>Data_File!I26</f>
        <v>98.48577680525165</v>
      </c>
      <c r="E25" s="5">
        <f aca="true" t="shared" si="2" ref="E25:E43">I25</f>
        <v>99.35449090266565</v>
      </c>
      <c r="F25" s="5">
        <f aca="true" t="shared" si="3" ref="F25:F43">((1+$J$65/100)*H25-D25)/($J$65/100)</f>
        <v>99.71857737250966</v>
      </c>
      <c r="G25" s="5">
        <v>0</v>
      </c>
      <c r="H25" s="5">
        <f>C!P22</f>
        <v>99.47848225505729</v>
      </c>
      <c r="I25" s="5">
        <f>C!Q22</f>
        <v>99.35449090266565</v>
      </c>
      <c r="J25" s="5">
        <f>C!R22</f>
        <v>99.9911411235676</v>
      </c>
      <c r="M25" s="145">
        <f aca="true" t="shared" si="4" ref="M25:M43">IF(D25&gt;80,IF(D26&lt;80,$C26*EXP(LN(80/D26)*LN($C25/$C26)/LN(D25/D26)),0),0)</f>
        <v>0</v>
      </c>
      <c r="N25" s="145">
        <f t="shared" si="1"/>
        <v>0</v>
      </c>
      <c r="O25" s="145">
        <f t="shared" si="1"/>
        <v>0</v>
      </c>
      <c r="P25" s="145">
        <f t="shared" si="1"/>
        <v>0</v>
      </c>
      <c r="Q25" s="145">
        <f aca="true" t="shared" si="5" ref="Q25:Q43">IF(H25&gt;80,IF(H26&lt;80,$C26*EXP(LN(80/H26)*LN($C25/$C26)/LN(H25/H26)),0),0)</f>
        <v>0</v>
      </c>
      <c r="R25" s="145">
        <f aca="true" t="shared" si="6" ref="R25:R43">IF(I25&gt;80,IF(I26&lt;80,$C26*EXP(LN(80/I26)*LN($C25/$C26)/LN(I25/I26)),0),0)</f>
        <v>0</v>
      </c>
      <c r="S25" s="145">
        <f aca="true" t="shared" si="7" ref="S25:S43">IF(J25&gt;80,IF(J26&lt;80,$C26*EXP(LN(80/J26)*LN($C25/$C26)/LN(J25/J26)),0),0)</f>
        <v>0</v>
      </c>
    </row>
    <row r="26" spans="1:19" ht="12.75">
      <c r="A26" s="15">
        <v>3</v>
      </c>
      <c r="B26" t="str">
        <f>Data_File!D27</f>
        <v>3/8"</v>
      </c>
      <c r="C26">
        <f>Data_File!E27</f>
        <v>9500</v>
      </c>
      <c r="D26" s="5">
        <f>Data_File!I27</f>
        <v>96.18380743982495</v>
      </c>
      <c r="E26" s="5">
        <f t="shared" si="2"/>
        <v>98.56688613498542</v>
      </c>
      <c r="F26" s="5">
        <f t="shared" si="3"/>
        <v>99.48511121920328</v>
      </c>
      <c r="G26" s="5">
        <v>0</v>
      </c>
      <c r="H26" s="5">
        <f>C!P23</f>
        <v>98.84216300867581</v>
      </c>
      <c r="I26" s="5">
        <f>C!Q23</f>
        <v>98.56688613498542</v>
      </c>
      <c r="J26" s="5">
        <f>C!R23</f>
        <v>99.98033214604759</v>
      </c>
      <c r="M26" s="145">
        <f t="shared" si="4"/>
        <v>0</v>
      </c>
      <c r="N26" s="145">
        <f t="shared" si="1"/>
        <v>0</v>
      </c>
      <c r="O26" s="145">
        <f t="shared" si="1"/>
        <v>0</v>
      </c>
      <c r="P26" s="145">
        <f t="shared" si="1"/>
        <v>0</v>
      </c>
      <c r="Q26" s="145">
        <f t="shared" si="5"/>
        <v>0</v>
      </c>
      <c r="R26" s="145">
        <f t="shared" si="6"/>
        <v>0</v>
      </c>
      <c r="S26" s="145">
        <f t="shared" si="7"/>
        <v>0</v>
      </c>
    </row>
    <row r="27" spans="1:19" ht="12.75">
      <c r="A27" s="15">
        <v>4</v>
      </c>
      <c r="B27" t="str">
        <f>Data_File!D28</f>
        <v>1/4"</v>
      </c>
      <c r="C27">
        <f>Data_File!E28</f>
        <v>6350</v>
      </c>
      <c r="D27" s="5">
        <f>Data_File!I28</f>
        <v>91.8293216630197</v>
      </c>
      <c r="E27" s="5">
        <f t="shared" si="2"/>
        <v>97.43139553462176</v>
      </c>
      <c r="F27" s="5">
        <f t="shared" si="3"/>
        <v>99.39902484606384</v>
      </c>
      <c r="G27" s="5">
        <v>0</v>
      </c>
      <c r="H27" s="5">
        <f>C!P24</f>
        <v>97.92478089851691</v>
      </c>
      <c r="I27" s="5">
        <f>C!Q24</f>
        <v>97.43139553462176</v>
      </c>
      <c r="J27" s="5">
        <f>C!R24</f>
        <v>99.96474882785334</v>
      </c>
      <c r="M27" s="145">
        <f t="shared" si="4"/>
        <v>0</v>
      </c>
      <c r="N27" s="145">
        <f t="shared" si="1"/>
        <v>0</v>
      </c>
      <c r="O27" s="145">
        <f t="shared" si="1"/>
        <v>0</v>
      </c>
      <c r="P27" s="145">
        <f t="shared" si="1"/>
        <v>0</v>
      </c>
      <c r="Q27" s="145">
        <f t="shared" si="5"/>
        <v>0</v>
      </c>
      <c r="R27" s="145">
        <f t="shared" si="6"/>
        <v>0</v>
      </c>
      <c r="S27" s="145">
        <f t="shared" si="7"/>
        <v>0</v>
      </c>
    </row>
    <row r="28" spans="1:19" ht="12.75">
      <c r="A28" s="15">
        <v>5</v>
      </c>
      <c r="B28">
        <f>Data_File!D29</f>
        <v>4</v>
      </c>
      <c r="C28">
        <f>Data_File!E29</f>
        <v>4750</v>
      </c>
      <c r="D28" s="5">
        <f>Data_File!I29</f>
        <v>88.71772428884026</v>
      </c>
      <c r="E28" s="5">
        <f t="shared" si="2"/>
        <v>96.60106183236273</v>
      </c>
      <c r="F28" s="5">
        <f t="shared" si="3"/>
        <v>99.31850399378123</v>
      </c>
      <c r="G28" s="5">
        <v>0</v>
      </c>
      <c r="H28" s="5">
        <f>C!P25</f>
        <v>97.25394017385577</v>
      </c>
      <c r="I28" s="5">
        <f>C!Q25</f>
        <v>96.60106183236273</v>
      </c>
      <c r="J28" s="5">
        <f>C!R25</f>
        <v>99.9533532003985</v>
      </c>
      <c r="M28" s="145">
        <f t="shared" si="4"/>
        <v>0</v>
      </c>
      <c r="N28" s="145">
        <f t="shared" si="1"/>
        <v>0</v>
      </c>
      <c r="O28" s="145">
        <f t="shared" si="1"/>
        <v>0</v>
      </c>
      <c r="P28" s="145">
        <f t="shared" si="1"/>
        <v>0</v>
      </c>
      <c r="Q28" s="145">
        <f t="shared" si="5"/>
        <v>0</v>
      </c>
      <c r="R28" s="145">
        <f t="shared" si="6"/>
        <v>0</v>
      </c>
      <c r="S28" s="145">
        <f t="shared" si="7"/>
        <v>0</v>
      </c>
    </row>
    <row r="29" spans="1:19" ht="12.75">
      <c r="A29" s="15">
        <v>6</v>
      </c>
      <c r="B29">
        <f>Data_File!D30</f>
        <v>6</v>
      </c>
      <c r="C29">
        <f>Data_File!E30</f>
        <v>3350</v>
      </c>
      <c r="D29" s="5">
        <f>Data_File!I30</f>
        <v>84.08315098468272</v>
      </c>
      <c r="E29" s="5">
        <f t="shared" si="2"/>
        <v>95.14943287389595</v>
      </c>
      <c r="F29" s="5">
        <f t="shared" si="3"/>
        <v>98.98296916208103</v>
      </c>
      <c r="G29" s="5">
        <v>0</v>
      </c>
      <c r="H29" s="5">
        <f>C!P26</f>
        <v>96.0811424673723</v>
      </c>
      <c r="I29" s="5">
        <f>C!Q26</f>
        <v>95.14943287389595</v>
      </c>
      <c r="J29" s="5">
        <f>C!R26</f>
        <v>99.93342068483203</v>
      </c>
      <c r="M29" s="145">
        <f t="shared" si="4"/>
        <v>2553.963401460722</v>
      </c>
      <c r="N29" s="145">
        <f t="shared" si="1"/>
        <v>0</v>
      </c>
      <c r="O29" s="145">
        <f t="shared" si="1"/>
        <v>0</v>
      </c>
      <c r="P29" s="145">
        <f t="shared" si="1"/>
        <v>0</v>
      </c>
      <c r="Q29" s="145">
        <f t="shared" si="5"/>
        <v>0</v>
      </c>
      <c r="R29" s="145">
        <f t="shared" si="6"/>
        <v>0</v>
      </c>
      <c r="S29" s="145">
        <f t="shared" si="7"/>
        <v>0</v>
      </c>
    </row>
    <row r="30" spans="1:19" ht="12.75">
      <c r="A30" s="15">
        <v>7</v>
      </c>
      <c r="B30">
        <f>Data_File!D31</f>
        <v>8</v>
      </c>
      <c r="C30">
        <f>Data_File!E31</f>
        <v>2360</v>
      </c>
      <c r="D30" s="5">
        <f>Data_File!I31</f>
        <v>78.84901531728666</v>
      </c>
      <c r="E30" s="5">
        <f t="shared" si="2"/>
        <v>93.14609940984883</v>
      </c>
      <c r="F30" s="5">
        <f t="shared" si="3"/>
        <v>98.23885310190099</v>
      </c>
      <c r="G30" s="5">
        <v>0</v>
      </c>
      <c r="H30" s="5">
        <f>C!P27</f>
        <v>94.46256883993487</v>
      </c>
      <c r="I30" s="5">
        <f>C!Q27</f>
        <v>93.14609940984883</v>
      </c>
      <c r="J30" s="5">
        <f>C!R27</f>
        <v>99.90568818203576</v>
      </c>
      <c r="M30" s="145">
        <f t="shared" si="4"/>
        <v>0</v>
      </c>
      <c r="N30" s="145">
        <f t="shared" si="1"/>
        <v>0</v>
      </c>
      <c r="O30" s="145">
        <f t="shared" si="1"/>
        <v>0</v>
      </c>
      <c r="P30" s="145">
        <f t="shared" si="1"/>
        <v>0</v>
      </c>
      <c r="Q30" s="145">
        <f t="shared" si="5"/>
        <v>0</v>
      </c>
      <c r="R30" s="145">
        <f t="shared" si="6"/>
        <v>0</v>
      </c>
      <c r="S30" s="145">
        <f t="shared" si="7"/>
        <v>0</v>
      </c>
    </row>
    <row r="31" spans="1:19" ht="12.75">
      <c r="A31" s="15">
        <v>8</v>
      </c>
      <c r="B31">
        <f>Data_File!D32</f>
        <v>10</v>
      </c>
      <c r="C31">
        <f>Data_File!E32</f>
        <v>1700</v>
      </c>
      <c r="D31" s="5">
        <f>Data_File!I32</f>
        <v>73.13347921225383</v>
      </c>
      <c r="E31" s="5">
        <f t="shared" si="2"/>
        <v>90.78695543851525</v>
      </c>
      <c r="F31" s="5">
        <f t="shared" si="3"/>
        <v>97.25365222319485</v>
      </c>
      <c r="G31" s="5">
        <v>0</v>
      </c>
      <c r="H31" s="5">
        <f>C!P28</f>
        <v>92.55610752225923</v>
      </c>
      <c r="I31" s="5">
        <f>C!Q28</f>
        <v>90.78695543851525</v>
      </c>
      <c r="J31" s="5">
        <f>C!R28</f>
        <v>99.87090398169195</v>
      </c>
      <c r="M31" s="145">
        <f t="shared" si="4"/>
        <v>0</v>
      </c>
      <c r="N31" s="145">
        <f t="shared" si="1"/>
        <v>0</v>
      </c>
      <c r="O31" s="145">
        <f t="shared" si="1"/>
        <v>0</v>
      </c>
      <c r="P31" s="145">
        <f t="shared" si="1"/>
        <v>0</v>
      </c>
      <c r="Q31" s="145">
        <f t="shared" si="5"/>
        <v>0</v>
      </c>
      <c r="R31" s="145">
        <f t="shared" si="6"/>
        <v>0</v>
      </c>
      <c r="S31" s="145">
        <f t="shared" si="7"/>
        <v>0</v>
      </c>
    </row>
    <row r="32" spans="1:19" ht="12.75">
      <c r="A32" s="15">
        <v>9</v>
      </c>
      <c r="B32">
        <f>Data_File!D33</f>
        <v>14</v>
      </c>
      <c r="C32">
        <f>Data_File!E33</f>
        <v>1180</v>
      </c>
      <c r="D32" s="5">
        <f>Data_File!I33</f>
        <v>66.41575492341357</v>
      </c>
      <c r="E32" s="5">
        <f t="shared" si="2"/>
        <v>87.14245107844683</v>
      </c>
      <c r="F32" s="5">
        <f t="shared" si="3"/>
        <v>95.21667812490618</v>
      </c>
      <c r="G32" s="5">
        <v>0</v>
      </c>
      <c r="H32" s="5">
        <f>C!P29</f>
        <v>89.60752996059344</v>
      </c>
      <c r="I32" s="5">
        <f>C!Q29</f>
        <v>87.14245107844683</v>
      </c>
      <c r="J32" s="5">
        <f>C!R29</f>
        <v>99.79972906265657</v>
      </c>
      <c r="M32" s="145">
        <f t="shared" si="4"/>
        <v>0</v>
      </c>
      <c r="N32" s="145">
        <f t="shared" si="1"/>
        <v>0</v>
      </c>
      <c r="O32" s="145">
        <f t="shared" si="1"/>
        <v>0</v>
      </c>
      <c r="P32" s="145">
        <f t="shared" si="1"/>
        <v>0</v>
      </c>
      <c r="Q32" s="145">
        <f t="shared" si="5"/>
        <v>0</v>
      </c>
      <c r="R32" s="145">
        <f t="shared" si="6"/>
        <v>0</v>
      </c>
      <c r="S32" s="145">
        <f t="shared" si="7"/>
        <v>0</v>
      </c>
    </row>
    <row r="33" spans="1:19" ht="12.75">
      <c r="A33" s="15">
        <v>10</v>
      </c>
      <c r="B33">
        <f>Data_File!D34</f>
        <v>20</v>
      </c>
      <c r="C33">
        <f>Data_File!E34</f>
        <v>850</v>
      </c>
      <c r="D33" s="5">
        <f>Data_File!I34</f>
        <v>60.0875273522976</v>
      </c>
      <c r="E33" s="5">
        <f t="shared" si="2"/>
        <v>82.58035934212448</v>
      </c>
      <c r="F33" s="5">
        <f t="shared" si="3"/>
        <v>92.14460227291349</v>
      </c>
      <c r="G33" s="5">
        <v>0</v>
      </c>
      <c r="H33" s="5">
        <f>C!P30</f>
        <v>85.90129952576788</v>
      </c>
      <c r="I33" s="5">
        <f>C!Q30</f>
        <v>82.58035934212448</v>
      </c>
      <c r="J33" s="5">
        <f>C!R30</f>
        <v>99.63217191402211</v>
      </c>
      <c r="M33" s="145">
        <f t="shared" si="4"/>
        <v>0</v>
      </c>
      <c r="N33" s="145">
        <f t="shared" si="1"/>
        <v>751.6691634819655</v>
      </c>
      <c r="O33" s="145">
        <f t="shared" si="1"/>
        <v>0</v>
      </c>
      <c r="P33" s="145">
        <f t="shared" si="1"/>
        <v>0</v>
      </c>
      <c r="Q33" s="145">
        <f t="shared" si="5"/>
        <v>0</v>
      </c>
      <c r="R33" s="145">
        <f t="shared" si="6"/>
        <v>751.6691634819655</v>
      </c>
      <c r="S33" s="145">
        <f t="shared" si="7"/>
        <v>0</v>
      </c>
    </row>
    <row r="34" spans="1:19" ht="12.75">
      <c r="A34" s="15">
        <v>11</v>
      </c>
      <c r="B34">
        <f>Data_File!D35</f>
        <v>28</v>
      </c>
      <c r="C34">
        <f>Data_File!E35</f>
        <v>600</v>
      </c>
      <c r="D34" s="5">
        <f>Data_File!I35</f>
        <v>50.32</v>
      </c>
      <c r="E34" s="5">
        <f t="shared" si="2"/>
        <v>75.47738675780127</v>
      </c>
      <c r="F34" s="5">
        <f t="shared" si="3"/>
        <v>87.26499715282074</v>
      </c>
      <c r="G34" s="5">
        <v>0</v>
      </c>
      <c r="H34" s="5">
        <f>C!P31</f>
        <v>80.06974297605379</v>
      </c>
      <c r="I34" s="5">
        <f>C!Q31</f>
        <v>75.47738675780127</v>
      </c>
      <c r="J34" s="5">
        <f>C!R31</f>
        <v>99.0574554030362</v>
      </c>
      <c r="M34" s="145">
        <f t="shared" si="4"/>
        <v>0</v>
      </c>
      <c r="N34" s="145">
        <f t="shared" si="1"/>
        <v>0</v>
      </c>
      <c r="O34" s="145">
        <f t="shared" si="1"/>
        <v>488.2444263107017</v>
      </c>
      <c r="P34" s="145">
        <f t="shared" si="1"/>
        <v>0</v>
      </c>
      <c r="Q34" s="145">
        <f t="shared" si="5"/>
        <v>598.7009401987333</v>
      </c>
      <c r="R34" s="145">
        <f t="shared" si="6"/>
        <v>0</v>
      </c>
      <c r="S34" s="145">
        <f t="shared" si="7"/>
        <v>0</v>
      </c>
    </row>
    <row r="35" spans="1:19" ht="12.75">
      <c r="A35" s="15">
        <v>12</v>
      </c>
      <c r="B35">
        <f>Data_File!D36</f>
        <v>35</v>
      </c>
      <c r="C35">
        <f>Data_File!E36</f>
        <v>425</v>
      </c>
      <c r="D35" s="5">
        <f>Data_File!I36</f>
        <v>45.92997811816193</v>
      </c>
      <c r="E35" s="5">
        <f t="shared" si="2"/>
        <v>63.131335229521234</v>
      </c>
      <c r="F35" s="5">
        <f t="shared" si="3"/>
        <v>75.45393049405324</v>
      </c>
      <c r="G35" s="5">
        <v>0</v>
      </c>
      <c r="H35" s="5">
        <f>C!P32</f>
        <v>69.70396817118211</v>
      </c>
      <c r="I35" s="5">
        <f>C!Q32</f>
        <v>63.131335229521234</v>
      </c>
      <c r="J35" s="5">
        <f>C!R32</f>
        <v>96.87940018326081</v>
      </c>
      <c r="M35" s="145">
        <f t="shared" si="4"/>
        <v>0</v>
      </c>
      <c r="N35" s="145">
        <f t="shared" si="1"/>
        <v>0</v>
      </c>
      <c r="O35" s="145">
        <f t="shared" si="1"/>
        <v>0</v>
      </c>
      <c r="P35" s="145">
        <f t="shared" si="1"/>
        <v>0</v>
      </c>
      <c r="Q35" s="145">
        <f t="shared" si="5"/>
        <v>0</v>
      </c>
      <c r="R35" s="145">
        <f t="shared" si="6"/>
        <v>0</v>
      </c>
      <c r="S35" s="145">
        <f t="shared" si="7"/>
        <v>0</v>
      </c>
    </row>
    <row r="36" spans="1:19" ht="12.75">
      <c r="A36" s="15">
        <v>13</v>
      </c>
      <c r="B36">
        <f>Data_File!D37</f>
        <v>48</v>
      </c>
      <c r="C36">
        <f>Data_File!E37</f>
        <v>300</v>
      </c>
      <c r="D36" s="5">
        <f>Data_File!I37</f>
        <v>39.286652078774615</v>
      </c>
      <c r="E36" s="5">
        <f t="shared" si="2"/>
        <v>46.03092783861932</v>
      </c>
      <c r="F36" s="5">
        <f t="shared" si="3"/>
        <v>58.52096372835453</v>
      </c>
      <c r="G36" s="5">
        <v>0</v>
      </c>
      <c r="H36" s="5">
        <f>C!P33</f>
        <v>54.77496909039553</v>
      </c>
      <c r="I36" s="5">
        <f>C!Q33</f>
        <v>46.03092783861932</v>
      </c>
      <c r="J36" s="5">
        <f>C!R33</f>
        <v>90.92837985555067</v>
      </c>
      <c r="M36" s="145">
        <f t="shared" si="4"/>
        <v>0</v>
      </c>
      <c r="N36" s="145">
        <f t="shared" si="1"/>
        <v>0</v>
      </c>
      <c r="O36" s="145">
        <f t="shared" si="1"/>
        <v>0</v>
      </c>
      <c r="P36" s="145">
        <f t="shared" si="1"/>
        <v>0</v>
      </c>
      <c r="Q36" s="145">
        <f t="shared" si="5"/>
        <v>0</v>
      </c>
      <c r="R36" s="145">
        <f t="shared" si="6"/>
        <v>0</v>
      </c>
      <c r="S36" s="145">
        <f t="shared" si="7"/>
        <v>0</v>
      </c>
    </row>
    <row r="37" spans="1:19" ht="12.75">
      <c r="A37" s="15">
        <v>14</v>
      </c>
      <c r="B37">
        <f>Data_File!D38</f>
        <v>65</v>
      </c>
      <c r="C37">
        <f>Data_File!E38</f>
        <v>212</v>
      </c>
      <c r="D37" s="5">
        <f>Data_File!I38</f>
        <v>33.28665207877461</v>
      </c>
      <c r="E37" s="5">
        <f t="shared" si="2"/>
        <v>31.016956720477715</v>
      </c>
      <c r="F37" s="5">
        <f t="shared" si="3"/>
        <v>42.69832760788249</v>
      </c>
      <c r="G37" s="5">
        <v>0</v>
      </c>
      <c r="H37" s="5">
        <f>C!P34</f>
        <v>40.86534877772934</v>
      </c>
      <c r="I37" s="5">
        <f>C!Q34</f>
        <v>31.016956720477715</v>
      </c>
      <c r="J37" s="5">
        <f>C!R34</f>
        <v>81.5848459953097</v>
      </c>
      <c r="M37" s="145">
        <f t="shared" si="4"/>
        <v>0</v>
      </c>
      <c r="N37" s="145">
        <f t="shared" si="1"/>
        <v>0</v>
      </c>
      <c r="O37" s="145">
        <f t="shared" si="1"/>
        <v>0</v>
      </c>
      <c r="P37" s="145">
        <f t="shared" si="1"/>
        <v>0</v>
      </c>
      <c r="Q37" s="145">
        <f t="shared" si="5"/>
        <v>0</v>
      </c>
      <c r="R37" s="145">
        <f t="shared" si="6"/>
        <v>0</v>
      </c>
      <c r="S37" s="145">
        <f t="shared" si="7"/>
        <v>202.12055955947315</v>
      </c>
    </row>
    <row r="38" spans="1:19" ht="12.75">
      <c r="A38" s="15">
        <v>15</v>
      </c>
      <c r="B38">
        <f>Data_File!D39</f>
        <v>100</v>
      </c>
      <c r="C38">
        <f>Data_File!E39</f>
        <v>150</v>
      </c>
      <c r="D38" s="5">
        <f>Data_File!I39</f>
        <v>28.46389496717724</v>
      </c>
      <c r="E38" s="5">
        <f t="shared" si="2"/>
        <v>20.44429526265425</v>
      </c>
      <c r="F38" s="5">
        <f t="shared" si="3"/>
        <v>30.676412852127918</v>
      </c>
      <c r="G38" s="5">
        <v>0</v>
      </c>
      <c r="H38" s="5">
        <f>C!P35</f>
        <v>30.245512059606202</v>
      </c>
      <c r="I38" s="5">
        <f>C!Q35</f>
        <v>20.44429526265425</v>
      </c>
      <c r="J38" s="5">
        <f>C!R35</f>
        <v>70.76995683925111</v>
      </c>
      <c r="M38" s="145">
        <f t="shared" si="4"/>
        <v>0</v>
      </c>
      <c r="N38" s="145">
        <f t="shared" si="1"/>
        <v>0</v>
      </c>
      <c r="O38" s="145">
        <f t="shared" si="1"/>
        <v>0</v>
      </c>
      <c r="P38" s="145">
        <f t="shared" si="1"/>
        <v>0</v>
      </c>
      <c r="Q38" s="145">
        <f t="shared" si="5"/>
        <v>0</v>
      </c>
      <c r="R38" s="145">
        <f t="shared" si="6"/>
        <v>0</v>
      </c>
      <c r="S38" s="145">
        <f t="shared" si="7"/>
        <v>0</v>
      </c>
    </row>
    <row r="39" spans="1:19" ht="12.75">
      <c r="A39" s="15">
        <v>16</v>
      </c>
      <c r="B39">
        <f>Data_File!D40</f>
        <v>150</v>
      </c>
      <c r="C39">
        <f>Data_File!E40</f>
        <v>106</v>
      </c>
      <c r="D39" s="5">
        <f>Data_File!I40</f>
        <v>23.7417943107221</v>
      </c>
      <c r="E39" s="5">
        <f t="shared" si="2"/>
        <v>11.488926726468716</v>
      </c>
      <c r="F39" s="5">
        <f t="shared" si="3"/>
        <v>19.44682417644404</v>
      </c>
      <c r="G39" s="5">
        <v>0</v>
      </c>
      <c r="H39" s="5">
        <f>C!P36</f>
        <v>20.283294718583303</v>
      </c>
      <c r="I39" s="5">
        <f>C!Q36</f>
        <v>11.488926726468716</v>
      </c>
      <c r="J39" s="5">
        <f>C!R36</f>
        <v>56.64478813837541</v>
      </c>
      <c r="M39" s="145">
        <f t="shared" si="4"/>
        <v>0</v>
      </c>
      <c r="N39" s="145">
        <f t="shared" si="1"/>
        <v>0</v>
      </c>
      <c r="O39" s="145">
        <f t="shared" si="1"/>
        <v>0</v>
      </c>
      <c r="P39" s="145">
        <f t="shared" si="1"/>
        <v>0</v>
      </c>
      <c r="Q39" s="145">
        <f t="shared" si="5"/>
        <v>0</v>
      </c>
      <c r="R39" s="145">
        <f t="shared" si="6"/>
        <v>0</v>
      </c>
      <c r="S39" s="145">
        <f t="shared" si="7"/>
        <v>0</v>
      </c>
    </row>
    <row r="40" spans="1:19" ht="12.75">
      <c r="A40" s="15">
        <v>17</v>
      </c>
      <c r="B40">
        <f>Data_File!D41</f>
        <v>200</v>
      </c>
      <c r="C40">
        <f>Data_File!E41</f>
        <v>75</v>
      </c>
      <c r="D40" s="5">
        <f>Data_File!I41</f>
        <v>19.304157549234134</v>
      </c>
      <c r="E40" s="5">
        <f t="shared" si="2"/>
        <v>7.625395635889417</v>
      </c>
      <c r="F40" s="5">
        <f t="shared" si="3"/>
        <v>14.492547001636307</v>
      </c>
      <c r="G40" s="5">
        <v>0</v>
      </c>
      <c r="H40" s="5">
        <f>C!P37</f>
        <v>15.429636284560663</v>
      </c>
      <c r="I40" s="5">
        <f>C!Q37</f>
        <v>7.625395635889417</v>
      </c>
      <c r="J40" s="5">
        <f>C!R37</f>
        <v>47.69731546828115</v>
      </c>
      <c r="M40" s="145">
        <f t="shared" si="4"/>
        <v>0</v>
      </c>
      <c r="N40" s="145">
        <f aca="true" t="shared" si="8" ref="N40:P43">IF(E40&gt;80,IF(E41&lt;80,$C41*EXP(LN(80/E41)*LN($C40/$C41)/LN(E40/E41)),0),0)</f>
        <v>0</v>
      </c>
      <c r="O40" s="145">
        <f t="shared" si="8"/>
        <v>0</v>
      </c>
      <c r="P40" s="145">
        <f t="shared" si="8"/>
        <v>0</v>
      </c>
      <c r="Q40" s="145">
        <f t="shared" si="5"/>
        <v>0</v>
      </c>
      <c r="R40" s="145">
        <f t="shared" si="6"/>
        <v>0</v>
      </c>
      <c r="S40" s="145">
        <f t="shared" si="7"/>
        <v>0</v>
      </c>
    </row>
    <row r="41" spans="1:19" ht="12.75">
      <c r="A41" s="15">
        <v>18</v>
      </c>
      <c r="B41">
        <f>Data_File!D42</f>
        <v>270</v>
      </c>
      <c r="C41">
        <f>Data_File!E42</f>
        <v>53</v>
      </c>
      <c r="D41" s="5">
        <f>Data_File!I42</f>
        <v>15.356673960612696</v>
      </c>
      <c r="E41" s="5">
        <f t="shared" si="2"/>
        <v>5.001034370033029</v>
      </c>
      <c r="F41" s="5">
        <f t="shared" si="3"/>
        <v>10.744353522579589</v>
      </c>
      <c r="G41" s="5">
        <v>0</v>
      </c>
      <c r="H41" s="5">
        <f>C!P38</f>
        <v>11.64262989161191</v>
      </c>
      <c r="I41" s="5">
        <f>C!Q38</f>
        <v>5.001034370033029</v>
      </c>
      <c r="J41" s="5">
        <f>C!R38</f>
        <v>39.10319693535503</v>
      </c>
      <c r="M41" s="145">
        <f t="shared" si="4"/>
        <v>0</v>
      </c>
      <c r="N41" s="145">
        <f t="shared" si="8"/>
        <v>0</v>
      </c>
      <c r="O41" s="145">
        <f t="shared" si="8"/>
        <v>0</v>
      </c>
      <c r="P41" s="145">
        <f t="shared" si="8"/>
        <v>0</v>
      </c>
      <c r="Q41" s="145">
        <f t="shared" si="5"/>
        <v>0</v>
      </c>
      <c r="R41" s="145">
        <f t="shared" si="6"/>
        <v>0</v>
      </c>
      <c r="S41" s="145">
        <f t="shared" si="7"/>
        <v>0</v>
      </c>
    </row>
    <row r="42" spans="1:19" ht="12.75">
      <c r="A42" s="15">
        <v>19</v>
      </c>
      <c r="B42">
        <f>Data_File!D43</f>
        <v>325</v>
      </c>
      <c r="C42">
        <f>Data_File!E43</f>
        <v>44</v>
      </c>
      <c r="D42" s="5">
        <f>Data_File!I43</f>
        <v>13.654266958424515</v>
      </c>
      <c r="E42" s="5">
        <f t="shared" si="2"/>
        <v>4.144886555480982</v>
      </c>
      <c r="F42" s="5">
        <f t="shared" si="3"/>
        <v>9.432500556652492</v>
      </c>
      <c r="G42" s="5">
        <v>0</v>
      </c>
      <c r="H42" s="5">
        <f>C!P39</f>
        <v>10.254714243935597</v>
      </c>
      <c r="I42" s="5">
        <f>C!Q39</f>
        <v>4.144886555480982</v>
      </c>
      <c r="J42" s="5">
        <f>C!R39</f>
        <v>35.51661589383319</v>
      </c>
      <c r="M42" s="145">
        <f t="shared" si="4"/>
        <v>0</v>
      </c>
      <c r="N42" s="145">
        <f t="shared" si="8"/>
        <v>0</v>
      </c>
      <c r="O42" s="145">
        <f t="shared" si="8"/>
        <v>0</v>
      </c>
      <c r="P42" s="145">
        <f t="shared" si="8"/>
        <v>0</v>
      </c>
      <c r="Q42" s="145">
        <f t="shared" si="5"/>
        <v>0</v>
      </c>
      <c r="R42" s="145">
        <f t="shared" si="6"/>
        <v>0</v>
      </c>
      <c r="S42" s="145">
        <f t="shared" si="7"/>
        <v>0</v>
      </c>
    </row>
    <row r="43" spans="1:19" ht="12.75">
      <c r="A43" s="15">
        <v>20</v>
      </c>
      <c r="B43">
        <f>Data_File!D44</f>
        <v>400</v>
      </c>
      <c r="C43">
        <f>Data_File!E44</f>
        <v>37</v>
      </c>
      <c r="D43" s="5">
        <f>Data_File!I44</f>
        <v>12.76586433260394</v>
      </c>
      <c r="E43" s="5">
        <f t="shared" si="2"/>
        <v>3.5806723236688494</v>
      </c>
      <c r="F43" s="5">
        <f t="shared" si="3"/>
        <v>8.413872795129574</v>
      </c>
      <c r="G43" s="5">
        <v>0</v>
      </c>
      <c r="H43" s="5">
        <f>C!P40</f>
        <v>9.26144858888968</v>
      </c>
      <c r="I43" s="5">
        <f>C!Q40</f>
        <v>3.5806723236688494</v>
      </c>
      <c r="J43" s="5">
        <f>C!R40</f>
        <v>32.749379611602215</v>
      </c>
      <c r="M43" s="145">
        <f t="shared" si="4"/>
        <v>0</v>
      </c>
      <c r="N43" s="145">
        <f t="shared" si="8"/>
        <v>0</v>
      </c>
      <c r="O43" s="145">
        <f t="shared" si="8"/>
        <v>0</v>
      </c>
      <c r="P43" s="145">
        <f t="shared" si="8"/>
        <v>0</v>
      </c>
      <c r="Q43" s="145">
        <f t="shared" si="5"/>
        <v>0</v>
      </c>
      <c r="R43" s="145">
        <f t="shared" si="6"/>
        <v>0</v>
      </c>
      <c r="S43" s="145">
        <f t="shared" si="7"/>
        <v>0</v>
      </c>
    </row>
    <row r="44" spans="2:19" ht="12.75">
      <c r="B44" s="9"/>
      <c r="C44" s="9"/>
      <c r="D44" s="11"/>
      <c r="E44" s="9"/>
      <c r="F44" s="9"/>
      <c r="G44" s="9"/>
      <c r="H44" s="9"/>
      <c r="I44" s="9"/>
      <c r="J44" s="9"/>
      <c r="M44" s="145"/>
      <c r="N44" s="145"/>
      <c r="O44" s="145"/>
      <c r="P44" s="145"/>
      <c r="Q44" s="145"/>
      <c r="R44" s="145"/>
      <c r="S44" s="145"/>
    </row>
    <row r="45" spans="2:19" ht="18" customHeight="1">
      <c r="B45" s="12" t="s">
        <v>101</v>
      </c>
      <c r="C45" s="12"/>
      <c r="D45" s="13">
        <f>M45</f>
        <v>2553.963401460722</v>
      </c>
      <c r="E45" s="13">
        <f aca="true" t="shared" si="9" ref="E45:J45">N45</f>
        <v>751.6691634819655</v>
      </c>
      <c r="F45" s="13">
        <f t="shared" si="9"/>
        <v>488.2444263107017</v>
      </c>
      <c r="G45" s="13">
        <f t="shared" si="9"/>
        <v>0</v>
      </c>
      <c r="H45" s="13">
        <f t="shared" si="9"/>
        <v>598.7009401987333</v>
      </c>
      <c r="I45" s="13">
        <f t="shared" si="9"/>
        <v>751.6691634819655</v>
      </c>
      <c r="J45" s="14">
        <f t="shared" si="9"/>
        <v>202.12055955947315</v>
      </c>
      <c r="M45" s="145">
        <f>SUM(M24:M43)</f>
        <v>2553.963401460722</v>
      </c>
      <c r="N45" s="145">
        <f>SUM(N24:N43)</f>
        <v>751.6691634819655</v>
      </c>
      <c r="O45" s="145">
        <f>SUM(O24:O43)</f>
        <v>488.2444263107017</v>
      </c>
      <c r="P45" s="145">
        <f>SUM(P24:P43)</f>
        <v>0</v>
      </c>
      <c r="Q45" s="145">
        <f>SUM(Q25:Q43)</f>
        <v>598.7009401987333</v>
      </c>
      <c r="R45" s="145">
        <f>SUM(R25:R43)</f>
        <v>751.6691634819655</v>
      </c>
      <c r="S45" s="145">
        <f>SUM(S25:S43)</f>
        <v>202.12055955947315</v>
      </c>
    </row>
    <row r="47" spans="2:6" ht="12.75">
      <c r="B47" t="s">
        <v>99</v>
      </c>
      <c r="E47" s="5">
        <f>Data_File!L15/Data_File!R15</f>
        <v>5.008478328172944</v>
      </c>
      <c r="F47" s="7" t="s">
        <v>195</v>
      </c>
    </row>
    <row r="48" spans="2:6" ht="12.75">
      <c r="B48" t="s">
        <v>100</v>
      </c>
      <c r="E48" s="5">
        <f>E47/10/(1/J45^0.5-1/D45^0.5)</f>
        <v>9.907736088427356</v>
      </c>
      <c r="F48" s="7" t="s">
        <v>196</v>
      </c>
    </row>
    <row r="49" spans="2:10" ht="19.5">
      <c r="B49" s="144"/>
      <c r="E49" s="232" t="s">
        <v>213</v>
      </c>
      <c r="F49" s="232"/>
      <c r="G49" s="232"/>
      <c r="I49" s="25" t="str">
        <f>I1</f>
        <v>Sample N°</v>
      </c>
      <c r="J49" s="179">
        <f>J1</f>
        <v>1</v>
      </c>
    </row>
    <row r="50" spans="2:10" ht="15.75">
      <c r="B50" s="236" t="str">
        <f>B2</f>
        <v>BALLBAL</v>
      </c>
      <c r="C50" s="236"/>
      <c r="D50" s="236"/>
      <c r="E50" s="236"/>
      <c r="F50" s="236"/>
      <c r="G50" s="236"/>
      <c r="H50" s="236"/>
      <c r="I50" s="236"/>
      <c r="J50" s="236"/>
    </row>
    <row r="51" spans="2:10" ht="12.75">
      <c r="B51" s="232" t="str">
        <f>B3</f>
        <v>Grinding Circuit Mass Balance Estimator</v>
      </c>
      <c r="C51" s="232"/>
      <c r="D51" s="232"/>
      <c r="E51" s="232"/>
      <c r="F51" s="232"/>
      <c r="G51" s="232"/>
      <c r="H51" s="232"/>
      <c r="I51" s="232"/>
      <c r="J51" s="232"/>
    </row>
    <row r="53" spans="2:10" ht="12.75">
      <c r="B53" t="str">
        <f>B5</f>
        <v>Remarks :</v>
      </c>
      <c r="C53" s="37">
        <f>C5</f>
        <v>0</v>
      </c>
      <c r="D53" s="38"/>
      <c r="E53" s="38"/>
      <c r="F53" s="38"/>
      <c r="G53" s="38"/>
      <c r="H53" s="38"/>
      <c r="I53" s="38"/>
      <c r="J53" s="39"/>
    </row>
    <row r="54" spans="3:10" ht="12.75">
      <c r="C54" s="40" t="str">
        <f>C6</f>
        <v> </v>
      </c>
      <c r="D54" s="41"/>
      <c r="E54" s="41"/>
      <c r="F54" s="41"/>
      <c r="G54" s="41"/>
      <c r="H54" s="41"/>
      <c r="I54" s="41"/>
      <c r="J54" s="42"/>
    </row>
    <row r="56" spans="2:10" ht="16.5">
      <c r="B56" s="233" t="s">
        <v>88</v>
      </c>
      <c r="C56" s="233"/>
      <c r="D56" s="233"/>
      <c r="E56" s="233"/>
      <c r="F56" s="233"/>
      <c r="G56" s="233"/>
      <c r="H56" s="233"/>
      <c r="I56" s="233"/>
      <c r="J56" s="233"/>
    </row>
    <row r="58" spans="2:7" ht="12.75">
      <c r="B58" t="s">
        <v>65</v>
      </c>
      <c r="D58">
        <f>Data_File!D18</f>
        <v>11</v>
      </c>
      <c r="G58" t="s">
        <v>67</v>
      </c>
    </row>
    <row r="59" spans="2:10" ht="12.75">
      <c r="B59" t="s">
        <v>69</v>
      </c>
      <c r="G59" s="2"/>
      <c r="H59" s="7" t="s">
        <v>70</v>
      </c>
      <c r="J59" s="4">
        <f>H16</f>
        <v>5972.043345493221</v>
      </c>
    </row>
    <row r="60" spans="3:10" ht="12.75">
      <c r="C60" s="7" t="s">
        <v>48</v>
      </c>
      <c r="D60" s="5">
        <f>Data_File!E18</f>
        <v>26</v>
      </c>
      <c r="E60" s="2"/>
      <c r="H60" s="7" t="s">
        <v>71</v>
      </c>
      <c r="J60" s="4">
        <f>C!E11</f>
        <v>9.6</v>
      </c>
    </row>
    <row r="61" spans="3:10" ht="12.75">
      <c r="C61" s="7" t="s">
        <v>66</v>
      </c>
      <c r="D61" s="5">
        <f>Data_File!F18</f>
        <v>90</v>
      </c>
      <c r="H61" s="7" t="s">
        <v>68</v>
      </c>
      <c r="J61" s="4">
        <f>C!E12</f>
        <v>52.066504171463286</v>
      </c>
    </row>
    <row r="62" spans="3:10" ht="12.75">
      <c r="C62" s="7" t="s">
        <v>62</v>
      </c>
      <c r="D62" s="5">
        <f>Data_File!G18</f>
        <v>9.8</v>
      </c>
      <c r="H62" s="7" t="s">
        <v>72</v>
      </c>
      <c r="J62" s="4">
        <f>C!E13*100</f>
        <v>42.54697584868229</v>
      </c>
    </row>
    <row r="63" spans="3:10" ht="12.75">
      <c r="C63" s="7" t="s">
        <v>63</v>
      </c>
      <c r="D63" s="5">
        <f>Data_File!H18</f>
        <v>8</v>
      </c>
      <c r="H63" s="7" t="s">
        <v>73</v>
      </c>
      <c r="J63" s="4">
        <f>C!E14*100</f>
        <v>3.0864224825425386</v>
      </c>
    </row>
    <row r="64" spans="3:10" ht="12.75">
      <c r="C64" s="7" t="s">
        <v>64</v>
      </c>
      <c r="D64" s="5">
        <f>Data_File!I18</f>
        <v>5.25</v>
      </c>
      <c r="H64" s="7" t="s">
        <v>43</v>
      </c>
      <c r="J64" s="5">
        <f>C!E16</f>
        <v>0.6795943077768243</v>
      </c>
    </row>
    <row r="65" spans="2:10" ht="12.75">
      <c r="B65" s="7" t="s">
        <v>59</v>
      </c>
      <c r="D65" s="5">
        <f>Data_File!R17</f>
        <v>3.4</v>
      </c>
      <c r="H65" t="s">
        <v>74</v>
      </c>
      <c r="J65" s="6">
        <f>C!E8*100</f>
        <v>413.4634058114852</v>
      </c>
    </row>
    <row r="67" spans="2:10" ht="15.75">
      <c r="B67" s="236" t="s">
        <v>87</v>
      </c>
      <c r="C67" s="236"/>
      <c r="D67" s="236"/>
      <c r="E67" s="236"/>
      <c r="F67" s="236"/>
      <c r="G67" s="236"/>
      <c r="H67" s="236"/>
      <c r="I67" s="236"/>
      <c r="J67" s="236"/>
    </row>
    <row r="68" spans="5:10" ht="12.75">
      <c r="E68" s="9"/>
      <c r="F68" s="9"/>
      <c r="G68" s="9"/>
      <c r="I68" s="9"/>
      <c r="J68" s="9"/>
    </row>
    <row r="69" spans="1:10" ht="15" customHeight="1">
      <c r="A69" s="19"/>
      <c r="B69" s="19"/>
      <c r="C69" s="19"/>
      <c r="D69" s="19"/>
      <c r="E69" s="238" t="s">
        <v>77</v>
      </c>
      <c r="F69" s="238"/>
      <c r="G69" s="238"/>
      <c r="H69" s="19"/>
      <c r="I69" s="235" t="s">
        <v>76</v>
      </c>
      <c r="J69" s="235"/>
    </row>
    <row r="70" spans="1:10" ht="15" customHeight="1">
      <c r="A70" s="2" t="str">
        <f>A22</f>
        <v>i</v>
      </c>
      <c r="B70" s="23" t="str">
        <f>B22</f>
        <v>Mesh</v>
      </c>
      <c r="C70" s="23" t="str">
        <f>C22</f>
        <v>Opening</v>
      </c>
      <c r="D70" s="23" t="str">
        <f>Data_File!F23</f>
        <v>Mid-Size</v>
      </c>
      <c r="E70" s="22" t="s">
        <v>5</v>
      </c>
      <c r="F70" s="22" t="s">
        <v>9</v>
      </c>
      <c r="G70" s="22" t="s">
        <v>10</v>
      </c>
      <c r="H70" s="19"/>
      <c r="I70" s="22" t="s">
        <v>58</v>
      </c>
      <c r="J70" s="22" t="s">
        <v>75</v>
      </c>
    </row>
    <row r="71" spans="1:10" ht="12.75">
      <c r="A71" s="3"/>
      <c r="B71" s="3"/>
      <c r="C71" s="3"/>
      <c r="D71" s="3"/>
      <c r="E71" s="3"/>
      <c r="F71" s="3"/>
      <c r="G71" s="3"/>
      <c r="I71" s="3"/>
      <c r="J71" s="3"/>
    </row>
    <row r="72" spans="1:10" ht="12.75">
      <c r="A72" s="15">
        <f aca="true" t="shared" si="10" ref="A72:B91">A24</f>
        <v>1</v>
      </c>
      <c r="B72" t="str">
        <f t="shared" si="10"/>
        <v>3/4"</v>
      </c>
      <c r="C72">
        <f aca="true" t="shared" si="11" ref="C72:C91">C24</f>
        <v>19050</v>
      </c>
      <c r="D72" s="6">
        <f>Data_File!F26</f>
        <v>15554.259866673181</v>
      </c>
      <c r="E72" s="5">
        <f>H24</f>
        <v>99.99999999999997</v>
      </c>
      <c r="F72" s="5">
        <f>I24</f>
        <v>99.99999999999999</v>
      </c>
      <c r="G72" s="5">
        <f>J24</f>
        <v>100.00000000000001</v>
      </c>
      <c r="I72" s="1">
        <f>C!E22</f>
        <v>0.9966917367795697</v>
      </c>
      <c r="J72" s="1">
        <f aca="true" t="shared" si="12" ref="J72:J91">1-EXP(-0.693*(D72/$J$61)^$J$64)</f>
        <v>0.9999999999999967</v>
      </c>
    </row>
    <row r="73" spans="1:10" ht="12.75">
      <c r="A73" s="15">
        <f t="shared" si="10"/>
        <v>2</v>
      </c>
      <c r="B73" t="str">
        <f t="shared" si="10"/>
        <v>1/2"</v>
      </c>
      <c r="C73">
        <f t="shared" si="11"/>
        <v>12700</v>
      </c>
      <c r="D73" s="6">
        <f>Data_File!F27</f>
        <v>10984.079387914127</v>
      </c>
      <c r="E73" s="5">
        <f aca="true" t="shared" si="13" ref="E73:E91">H25</f>
        <v>99.47848225505729</v>
      </c>
      <c r="F73" s="5">
        <f aca="true" t="shared" si="14" ref="F73:F91">I25</f>
        <v>99.35449090266565</v>
      </c>
      <c r="G73" s="5">
        <f aca="true" t="shared" si="15" ref="G73:G91">J25</f>
        <v>99.9911411235676</v>
      </c>
      <c r="I73" s="1">
        <f>C!E23</f>
        <v>0.9966917367759819</v>
      </c>
      <c r="J73" s="1">
        <f t="shared" si="12"/>
        <v>0.999999999996282</v>
      </c>
    </row>
    <row r="74" spans="1:10" ht="12.75">
      <c r="A74" s="15">
        <f t="shared" si="10"/>
        <v>3</v>
      </c>
      <c r="B74" t="str">
        <f t="shared" si="10"/>
        <v>3/8"</v>
      </c>
      <c r="C74">
        <f t="shared" si="11"/>
        <v>9500</v>
      </c>
      <c r="D74" s="6">
        <f>Data_File!F28</f>
        <v>7766.917020285462</v>
      </c>
      <c r="E74" s="5">
        <f t="shared" si="13"/>
        <v>98.84216300867581</v>
      </c>
      <c r="F74" s="5">
        <f t="shared" si="14"/>
        <v>98.56688613498542</v>
      </c>
      <c r="G74" s="5">
        <f t="shared" si="15"/>
        <v>99.98033214604759</v>
      </c>
      <c r="I74" s="1">
        <f>C!E24</f>
        <v>0.9966917358806803</v>
      </c>
      <c r="J74" s="1">
        <f t="shared" si="12"/>
        <v>0.9999999990693031</v>
      </c>
    </row>
    <row r="75" spans="1:10" ht="12.75">
      <c r="A75" s="15">
        <f t="shared" si="10"/>
        <v>4</v>
      </c>
      <c r="B75" t="str">
        <f t="shared" si="10"/>
        <v>1/4"</v>
      </c>
      <c r="C75">
        <f t="shared" si="11"/>
        <v>6350</v>
      </c>
      <c r="D75" s="6">
        <f>Data_File!F29</f>
        <v>5492.039693957064</v>
      </c>
      <c r="E75" s="5">
        <f t="shared" si="13"/>
        <v>97.92478089851691</v>
      </c>
      <c r="F75" s="5">
        <f t="shared" si="14"/>
        <v>97.43139553462176</v>
      </c>
      <c r="G75" s="5">
        <f t="shared" si="15"/>
        <v>99.96474882785334</v>
      </c>
      <c r="I75" s="1">
        <f>C!E25</f>
        <v>0.9966916661670521</v>
      </c>
      <c r="J75" s="1">
        <f t="shared" si="12"/>
        <v>0.9999999268890978</v>
      </c>
    </row>
    <row r="76" spans="1:10" ht="12.75">
      <c r="A76" s="15">
        <f t="shared" si="10"/>
        <v>5</v>
      </c>
      <c r="B76">
        <f t="shared" si="10"/>
        <v>4</v>
      </c>
      <c r="C76">
        <f t="shared" si="11"/>
        <v>4750</v>
      </c>
      <c r="D76" s="6">
        <f>Data_File!F30</f>
        <v>3989.047505357639</v>
      </c>
      <c r="E76" s="5">
        <f t="shared" si="13"/>
        <v>97.25394017385577</v>
      </c>
      <c r="F76" s="5">
        <f t="shared" si="14"/>
        <v>96.60106183236273</v>
      </c>
      <c r="G76" s="5">
        <f t="shared" si="15"/>
        <v>99.9533532003985</v>
      </c>
      <c r="I76" s="1">
        <f>C!E26</f>
        <v>0.9966899884685755</v>
      </c>
      <c r="J76" s="1">
        <f t="shared" si="12"/>
        <v>0.999998189831025</v>
      </c>
    </row>
    <row r="77" spans="1:10" ht="12.75">
      <c r="A77" s="15">
        <f t="shared" si="10"/>
        <v>6</v>
      </c>
      <c r="B77">
        <f t="shared" si="10"/>
        <v>6</v>
      </c>
      <c r="C77">
        <f t="shared" si="11"/>
        <v>3350</v>
      </c>
      <c r="D77" s="6">
        <f>Data_File!F31</f>
        <v>2811.761014026619</v>
      </c>
      <c r="E77" s="5">
        <f t="shared" si="13"/>
        <v>96.0811424673723</v>
      </c>
      <c r="F77" s="5">
        <f t="shared" si="14"/>
        <v>95.14943287389595</v>
      </c>
      <c r="G77" s="5">
        <f t="shared" si="15"/>
        <v>99.93342068483203</v>
      </c>
      <c r="I77" s="1">
        <f>C!E27</f>
        <v>0.9966630699074603</v>
      </c>
      <c r="J77" s="1">
        <f t="shared" si="12"/>
        <v>0.9999703188491136</v>
      </c>
    </row>
    <row r="78" spans="1:10" ht="12.75">
      <c r="A78" s="15">
        <f t="shared" si="10"/>
        <v>7</v>
      </c>
      <c r="B78">
        <f t="shared" si="10"/>
        <v>8</v>
      </c>
      <c r="C78">
        <f t="shared" si="11"/>
        <v>2360</v>
      </c>
      <c r="D78" s="6">
        <f>Data_File!F32</f>
        <v>2002.9977533686852</v>
      </c>
      <c r="E78" s="5">
        <f t="shared" si="13"/>
        <v>94.46256883993487</v>
      </c>
      <c r="F78" s="5">
        <f t="shared" si="14"/>
        <v>93.14609940984883</v>
      </c>
      <c r="G78" s="5">
        <f t="shared" si="15"/>
        <v>99.90568818203576</v>
      </c>
      <c r="I78" s="1">
        <f>C!E28</f>
        <v>0.9964465964751883</v>
      </c>
      <c r="J78" s="1">
        <f t="shared" si="12"/>
        <v>0.9997461862482168</v>
      </c>
    </row>
    <row r="79" spans="1:10" ht="12.75">
      <c r="A79" s="15">
        <f t="shared" si="10"/>
        <v>8</v>
      </c>
      <c r="B79">
        <f t="shared" si="10"/>
        <v>10</v>
      </c>
      <c r="C79">
        <f t="shared" si="11"/>
        <v>1700</v>
      </c>
      <c r="D79" s="6">
        <f>Data_File!F33</f>
        <v>1416.333294108417</v>
      </c>
      <c r="E79" s="5">
        <f t="shared" si="13"/>
        <v>92.55610752225923</v>
      </c>
      <c r="F79" s="5">
        <f t="shared" si="14"/>
        <v>90.78695543851525</v>
      </c>
      <c r="G79" s="5">
        <f t="shared" si="15"/>
        <v>99.87090398169195</v>
      </c>
      <c r="I79" s="1">
        <f>C!E29</f>
        <v>0.995298841125132</v>
      </c>
      <c r="J79" s="1">
        <f t="shared" si="12"/>
        <v>0.998557821518645</v>
      </c>
    </row>
    <row r="80" spans="1:10" ht="12.75">
      <c r="A80" s="15">
        <f t="shared" si="10"/>
        <v>9</v>
      </c>
      <c r="B80">
        <f t="shared" si="10"/>
        <v>14</v>
      </c>
      <c r="C80">
        <f t="shared" si="11"/>
        <v>1180</v>
      </c>
      <c r="D80" s="6">
        <f>Data_File!F34</f>
        <v>1001.4988766843426</v>
      </c>
      <c r="E80" s="5">
        <f t="shared" si="13"/>
        <v>89.60752996059344</v>
      </c>
      <c r="F80" s="5">
        <f t="shared" si="14"/>
        <v>87.14245107844683</v>
      </c>
      <c r="G80" s="5">
        <f t="shared" si="15"/>
        <v>99.79972906265657</v>
      </c>
      <c r="I80" s="1">
        <f>C!E30</f>
        <v>0.9911951685646273</v>
      </c>
      <c r="J80" s="1">
        <f t="shared" si="12"/>
        <v>0.9943089546043015</v>
      </c>
    </row>
    <row r="81" spans="1:10" ht="12.75">
      <c r="A81" s="15">
        <f t="shared" si="10"/>
        <v>10</v>
      </c>
      <c r="B81">
        <f t="shared" si="10"/>
        <v>20</v>
      </c>
      <c r="C81">
        <f t="shared" si="11"/>
        <v>850</v>
      </c>
      <c r="D81" s="6">
        <f>Data_File!F35</f>
        <v>714.142842854285</v>
      </c>
      <c r="E81" s="5">
        <f t="shared" si="13"/>
        <v>85.90129952576788</v>
      </c>
      <c r="F81" s="5">
        <f t="shared" si="14"/>
        <v>82.58035934212448</v>
      </c>
      <c r="G81" s="5">
        <f t="shared" si="15"/>
        <v>99.63217191402211</v>
      </c>
      <c r="I81" s="1">
        <f>C!E31</f>
        <v>0.9808062565516596</v>
      </c>
      <c r="J81" s="1">
        <f t="shared" si="12"/>
        <v>0.98355246663478</v>
      </c>
    </row>
    <row r="82" spans="1:10" ht="12.75">
      <c r="A82" s="15">
        <f t="shared" si="10"/>
        <v>11</v>
      </c>
      <c r="B82">
        <f t="shared" si="10"/>
        <v>28</v>
      </c>
      <c r="C82">
        <f t="shared" si="11"/>
        <v>600</v>
      </c>
      <c r="D82" s="6">
        <f>Data_File!F36</f>
        <v>504.9752469181039</v>
      </c>
      <c r="E82" s="5">
        <f t="shared" si="13"/>
        <v>80.06974297605379</v>
      </c>
      <c r="F82" s="5">
        <f t="shared" si="14"/>
        <v>75.47738675780127</v>
      </c>
      <c r="G82" s="5">
        <f t="shared" si="15"/>
        <v>99.0574554030362</v>
      </c>
      <c r="I82" s="1">
        <f>C!E32</f>
        <v>0.9590779276036385</v>
      </c>
      <c r="J82" s="1">
        <f t="shared" si="12"/>
        <v>0.9610553554228013</v>
      </c>
    </row>
    <row r="83" spans="1:10" ht="12.75">
      <c r="A83" s="15">
        <f t="shared" si="10"/>
        <v>12</v>
      </c>
      <c r="B83">
        <f t="shared" si="10"/>
        <v>35</v>
      </c>
      <c r="C83">
        <f t="shared" si="11"/>
        <v>425</v>
      </c>
      <c r="D83" s="6">
        <f>Data_File!F37</f>
        <v>357.0714214271425</v>
      </c>
      <c r="E83" s="5">
        <f t="shared" si="13"/>
        <v>69.70396817118211</v>
      </c>
      <c r="F83" s="5">
        <f t="shared" si="14"/>
        <v>63.131335229521234</v>
      </c>
      <c r="G83" s="5">
        <f t="shared" si="15"/>
        <v>96.87940018326081</v>
      </c>
      <c r="I83" s="1">
        <f>C!E33</f>
        <v>0.9223661283423118</v>
      </c>
      <c r="J83" s="1">
        <f t="shared" si="12"/>
        <v>0.9230446352818434</v>
      </c>
    </row>
    <row r="84" spans="1:10" ht="12.75">
      <c r="A84" s="15">
        <f t="shared" si="10"/>
        <v>13</v>
      </c>
      <c r="B84">
        <f t="shared" si="10"/>
        <v>48</v>
      </c>
      <c r="C84">
        <f t="shared" si="11"/>
        <v>300</v>
      </c>
      <c r="D84" s="6">
        <f>Data_File!F38</f>
        <v>252.19040425836982</v>
      </c>
      <c r="E84" s="5">
        <f t="shared" si="13"/>
        <v>54.77496909039553</v>
      </c>
      <c r="F84" s="5">
        <f t="shared" si="14"/>
        <v>46.03092783861932</v>
      </c>
      <c r="G84" s="5">
        <f t="shared" si="15"/>
        <v>90.92837985555067</v>
      </c>
      <c r="I84" s="1">
        <f>C!E34</f>
        <v>0.8691763110078133</v>
      </c>
      <c r="J84" s="1">
        <f t="shared" si="12"/>
        <v>0.8679728790146399</v>
      </c>
    </row>
    <row r="85" spans="1:10" ht="12.75">
      <c r="A85" s="15">
        <f t="shared" si="10"/>
        <v>14</v>
      </c>
      <c r="B85">
        <f t="shared" si="10"/>
        <v>65</v>
      </c>
      <c r="C85">
        <f t="shared" si="11"/>
        <v>212</v>
      </c>
      <c r="D85" s="6">
        <f>Data_File!F39</f>
        <v>178.3255450012701</v>
      </c>
      <c r="E85" s="5">
        <f t="shared" si="13"/>
        <v>40.86534877772934</v>
      </c>
      <c r="F85" s="5">
        <f t="shared" si="14"/>
        <v>31.016956720477715</v>
      </c>
      <c r="G85" s="5">
        <f t="shared" si="15"/>
        <v>81.5848459953097</v>
      </c>
      <c r="I85" s="1">
        <f>C!E35</f>
        <v>0.8016671119222857</v>
      </c>
      <c r="J85" s="1">
        <f t="shared" si="12"/>
        <v>0.798075098872783</v>
      </c>
    </row>
    <row r="86" spans="1:10" ht="12.75">
      <c r="A86" s="15">
        <f t="shared" si="10"/>
        <v>15</v>
      </c>
      <c r="B86">
        <f t="shared" si="10"/>
        <v>100</v>
      </c>
      <c r="C86">
        <f t="shared" si="11"/>
        <v>150</v>
      </c>
      <c r="D86" s="6">
        <f>Data_File!F40</f>
        <v>126.09520212918491</v>
      </c>
      <c r="E86" s="5">
        <f t="shared" si="13"/>
        <v>30.245512059606202</v>
      </c>
      <c r="F86" s="5">
        <f t="shared" si="14"/>
        <v>20.44429526265425</v>
      </c>
      <c r="G86" s="5">
        <f t="shared" si="15"/>
        <v>70.76995683925111</v>
      </c>
      <c r="I86" s="1">
        <f>C!E36</f>
        <v>0.723860754451695</v>
      </c>
      <c r="J86" s="1">
        <f t="shared" si="12"/>
        <v>0.7175158307761784</v>
      </c>
    </row>
    <row r="87" spans="1:10" ht="12.75">
      <c r="A87" s="15">
        <f t="shared" si="10"/>
        <v>16</v>
      </c>
      <c r="B87">
        <f t="shared" si="10"/>
        <v>150</v>
      </c>
      <c r="C87">
        <f t="shared" si="11"/>
        <v>106</v>
      </c>
      <c r="D87" s="6">
        <f>Data_File!F41</f>
        <v>89.16277250063504</v>
      </c>
      <c r="E87" s="5">
        <f t="shared" si="13"/>
        <v>20.283294718583303</v>
      </c>
      <c r="F87" s="5">
        <f t="shared" si="14"/>
        <v>11.488926726468716</v>
      </c>
      <c r="G87" s="5">
        <f t="shared" si="15"/>
        <v>56.64478813837541</v>
      </c>
      <c r="I87" s="1">
        <f>C!E37</f>
        <v>0.6409774949540399</v>
      </c>
      <c r="J87" s="1">
        <f t="shared" si="12"/>
        <v>0.6317000319178934</v>
      </c>
    </row>
    <row r="88" spans="1:10" ht="12.75">
      <c r="A88" s="15">
        <f t="shared" si="10"/>
        <v>17</v>
      </c>
      <c r="B88">
        <f t="shared" si="10"/>
        <v>200</v>
      </c>
      <c r="C88">
        <f t="shared" si="11"/>
        <v>75</v>
      </c>
      <c r="D88" s="6">
        <f>Data_File!F42</f>
        <v>63.047601064592456</v>
      </c>
      <c r="E88" s="5">
        <f t="shared" si="13"/>
        <v>15.429636284560663</v>
      </c>
      <c r="F88" s="5">
        <f t="shared" si="14"/>
        <v>7.625395635889417</v>
      </c>
      <c r="G88" s="5">
        <f t="shared" si="15"/>
        <v>47.69731546828115</v>
      </c>
      <c r="I88" s="1">
        <f>C!E38</f>
        <v>0.5580269342013072</v>
      </c>
      <c r="J88" s="1">
        <f t="shared" si="12"/>
        <v>0.5458145505808586</v>
      </c>
    </row>
    <row r="89" spans="1:10" ht="12.75">
      <c r="A89" s="15">
        <f t="shared" si="10"/>
        <v>18</v>
      </c>
      <c r="B89">
        <f t="shared" si="10"/>
        <v>270</v>
      </c>
      <c r="C89">
        <f t="shared" si="11"/>
        <v>53</v>
      </c>
      <c r="D89" s="6">
        <f>Data_File!F43</f>
        <v>48.29078587059855</v>
      </c>
      <c r="E89" s="5">
        <f t="shared" si="13"/>
        <v>11.64262989161191</v>
      </c>
      <c r="F89" s="5">
        <f t="shared" si="14"/>
        <v>5.001034370033029</v>
      </c>
      <c r="G89" s="5">
        <f t="shared" si="15"/>
        <v>39.10319693535503</v>
      </c>
      <c r="I89" s="1">
        <f>C!E39</f>
        <v>0.4967218460023551</v>
      </c>
      <c r="J89" s="1">
        <f t="shared" si="12"/>
        <v>0.4823403924727361</v>
      </c>
    </row>
    <row r="90" spans="1:10" ht="12.75">
      <c r="A90" s="15">
        <f t="shared" si="10"/>
        <v>19</v>
      </c>
      <c r="B90">
        <f t="shared" si="10"/>
        <v>325</v>
      </c>
      <c r="C90">
        <f t="shared" si="11"/>
        <v>44</v>
      </c>
      <c r="D90" s="6">
        <f>Data_File!F44</f>
        <v>40.34848200366403</v>
      </c>
      <c r="E90" s="5">
        <f t="shared" si="13"/>
        <v>10.254714243935597</v>
      </c>
      <c r="F90" s="5">
        <f t="shared" si="14"/>
        <v>4.144886555480982</v>
      </c>
      <c r="G90" s="5">
        <f t="shared" si="15"/>
        <v>35.51661589383319</v>
      </c>
      <c r="I90" s="1">
        <f>C!E40</f>
        <v>0.4574105723378439</v>
      </c>
      <c r="J90" s="1">
        <f t="shared" si="12"/>
        <v>0.4416382244583117</v>
      </c>
    </row>
    <row r="91" spans="1:10" ht="12.75">
      <c r="A91" s="15">
        <f t="shared" si="10"/>
        <v>20</v>
      </c>
      <c r="B91" s="16">
        <f t="shared" si="10"/>
        <v>400</v>
      </c>
      <c r="C91" s="16">
        <f t="shared" si="11"/>
        <v>37</v>
      </c>
      <c r="D91" s="17">
        <f>Data_File!F45</f>
        <v>18.5</v>
      </c>
      <c r="E91" s="5">
        <f t="shared" si="13"/>
        <v>9.26144858888968</v>
      </c>
      <c r="F91" s="5">
        <f t="shared" si="14"/>
        <v>3.5806723236688494</v>
      </c>
      <c r="G91" s="5">
        <f t="shared" si="15"/>
        <v>32.749379611602215</v>
      </c>
      <c r="I91" s="26">
        <f>C!E41</f>
        <v>0.3113244573214114</v>
      </c>
      <c r="J91" s="26">
        <f t="shared" si="12"/>
        <v>0.29038335419596206</v>
      </c>
    </row>
    <row r="92" spans="2:10" ht="12.75">
      <c r="B92" s="9"/>
      <c r="C92" s="9"/>
      <c r="D92" s="9"/>
      <c r="E92" s="9"/>
      <c r="F92" s="9"/>
      <c r="G92" s="9"/>
      <c r="I92" s="9"/>
      <c r="J92" s="9"/>
    </row>
    <row r="93" spans="2:10" ht="12.75">
      <c r="B93" t="s">
        <v>91</v>
      </c>
      <c r="E93" s="4">
        <f aca="true" t="shared" si="16" ref="E93:G99">H13</f>
        <v>8565.596535747196</v>
      </c>
      <c r="F93" s="4">
        <f t="shared" si="16"/>
        <v>6897.396535747196</v>
      </c>
      <c r="G93" s="4">
        <f t="shared" si="16"/>
        <v>1668.2</v>
      </c>
      <c r="I93" s="237" t="s">
        <v>22</v>
      </c>
      <c r="J93" s="237"/>
    </row>
    <row r="94" spans="2:10" ht="12.75">
      <c r="B94" t="s">
        <v>92</v>
      </c>
      <c r="E94" s="4">
        <f t="shared" si="16"/>
        <v>3452.7502467440454</v>
      </c>
      <c r="F94" s="4">
        <f t="shared" si="16"/>
        <v>1469.0408135975076</v>
      </c>
      <c r="G94" s="4">
        <f t="shared" si="16"/>
        <v>1983.709433146538</v>
      </c>
      <c r="I94" s="3" t="s">
        <v>23</v>
      </c>
      <c r="J94" s="1">
        <f>C!A7</f>
        <v>3.5343319706687764</v>
      </c>
    </row>
    <row r="95" spans="2:10" ht="12.75">
      <c r="B95" t="s">
        <v>93</v>
      </c>
      <c r="E95" s="4">
        <f t="shared" si="16"/>
        <v>12018.346782491242</v>
      </c>
      <c r="F95" s="4">
        <f t="shared" si="16"/>
        <v>8366.437349344704</v>
      </c>
      <c r="G95" s="4">
        <f t="shared" si="16"/>
        <v>3651.909433146538</v>
      </c>
      <c r="I95" s="3" t="s">
        <v>24</v>
      </c>
      <c r="J95" s="1">
        <f>C!B7</f>
        <v>0.28513286497769913</v>
      </c>
    </row>
    <row r="96" spans="2:10" ht="12.75">
      <c r="B96" t="s">
        <v>94</v>
      </c>
      <c r="E96" s="4">
        <f t="shared" si="16"/>
        <v>5972.043345493221</v>
      </c>
      <c r="F96" s="4">
        <f t="shared" si="16"/>
        <v>3497.6868535231533</v>
      </c>
      <c r="G96" s="4">
        <f t="shared" si="16"/>
        <v>2474.3564919700675</v>
      </c>
      <c r="I96" s="3" t="s">
        <v>25</v>
      </c>
      <c r="J96" s="1">
        <f>C!C7</f>
        <v>30.05003395362672</v>
      </c>
    </row>
    <row r="97" spans="2:10" ht="12.75">
      <c r="B97" t="s">
        <v>95</v>
      </c>
      <c r="E97" s="1">
        <f t="shared" si="16"/>
        <v>2.012434620314811</v>
      </c>
      <c r="F97" s="1">
        <f t="shared" si="16"/>
        <v>2.3919915360396975</v>
      </c>
      <c r="G97" s="1">
        <f t="shared" si="16"/>
        <v>1.4759027023785527</v>
      </c>
      <c r="I97" s="3" t="s">
        <v>26</v>
      </c>
      <c r="J97" s="1">
        <f>C!D7</f>
        <v>-0.16438483345958843</v>
      </c>
    </row>
    <row r="98" spans="2:10" ht="12.75">
      <c r="B98" t="s">
        <v>96</v>
      </c>
      <c r="E98" s="4">
        <f t="shared" si="16"/>
        <v>42.18477584645044</v>
      </c>
      <c r="F98" s="4">
        <f t="shared" si="16"/>
        <v>57.999647334987394</v>
      </c>
      <c r="G98" s="4">
        <f t="shared" si="16"/>
        <v>19.829279265773028</v>
      </c>
      <c r="I98" s="168" t="str">
        <f>Control_Panel!C30</f>
        <v>l</v>
      </c>
      <c r="J98" s="26">
        <f>C!E7</f>
        <v>0.07254152430291065</v>
      </c>
    </row>
    <row r="99" spans="2:10" ht="12.75">
      <c r="B99" s="9" t="s">
        <v>97</v>
      </c>
      <c r="C99" s="9"/>
      <c r="D99" s="9"/>
      <c r="E99" s="10">
        <f t="shared" si="16"/>
        <v>71.27100499567764</v>
      </c>
      <c r="F99" s="10">
        <f t="shared" si="16"/>
        <v>82.44126200607276</v>
      </c>
      <c r="G99" s="10">
        <f t="shared" si="16"/>
        <v>45.68021279111116</v>
      </c>
      <c r="I99" s="169" t="s">
        <v>113</v>
      </c>
      <c r="J99" s="33">
        <f>Control_Panel!D21</f>
        <v>0.003308263220427109</v>
      </c>
    </row>
    <row r="101" spans="2:10" ht="19.5">
      <c r="B101" s="144"/>
      <c r="E101" s="232" t="s">
        <v>213</v>
      </c>
      <c r="F101" s="232"/>
      <c r="G101" s="232"/>
      <c r="I101" s="25" t="str">
        <f>I1</f>
        <v>Sample N°</v>
      </c>
      <c r="J101" s="179">
        <f>J1</f>
        <v>1</v>
      </c>
    </row>
    <row r="102" spans="2:10" ht="15.75">
      <c r="B102" s="236" t="str">
        <f>B2</f>
        <v>BALLBAL</v>
      </c>
      <c r="C102" s="236"/>
      <c r="D102" s="236"/>
      <c r="E102" s="236"/>
      <c r="F102" s="236"/>
      <c r="G102" s="236"/>
      <c r="H102" s="236"/>
      <c r="I102" s="236"/>
      <c r="J102" s="236"/>
    </row>
    <row r="103" spans="2:10" ht="12.75">
      <c r="B103" s="232" t="str">
        <f>B3</f>
        <v>Grinding Circuit Mass Balance Estimator</v>
      </c>
      <c r="C103" s="232"/>
      <c r="D103" s="232"/>
      <c r="E103" s="232"/>
      <c r="F103" s="232"/>
      <c r="G103" s="232"/>
      <c r="H103" s="232"/>
      <c r="I103" s="232"/>
      <c r="J103" s="232"/>
    </row>
    <row r="105" spans="2:10" ht="12.75">
      <c r="B105" t="str">
        <f>B5</f>
        <v>Remarks :</v>
      </c>
      <c r="C105" s="37">
        <f>C5</f>
        <v>0</v>
      </c>
      <c r="D105" s="38"/>
      <c r="E105" s="38"/>
      <c r="F105" s="38"/>
      <c r="G105" s="38"/>
      <c r="H105" s="38"/>
      <c r="I105" s="38"/>
      <c r="J105" s="39"/>
    </row>
    <row r="106" spans="3:10" ht="12.75">
      <c r="C106" s="40" t="str">
        <f>C6</f>
        <v> </v>
      </c>
      <c r="D106" s="41"/>
      <c r="E106" s="41"/>
      <c r="F106" s="41"/>
      <c r="G106" s="41"/>
      <c r="H106" s="41"/>
      <c r="I106" s="41"/>
      <c r="J106" s="42"/>
    </row>
    <row r="108" spans="2:10" ht="16.5">
      <c r="B108" s="233" t="s">
        <v>89</v>
      </c>
      <c r="C108" s="233"/>
      <c r="D108" s="233"/>
      <c r="E108" s="233"/>
      <c r="F108" s="233"/>
      <c r="G108" s="233"/>
      <c r="H108" s="233"/>
      <c r="I108" s="233"/>
      <c r="J108" s="233"/>
    </row>
    <row r="110" spans="2:11" ht="12.75">
      <c r="B110" s="7" t="s">
        <v>206</v>
      </c>
      <c r="D110" s="4">
        <f>Data_File!D13</f>
        <v>23.5</v>
      </c>
      <c r="H110" s="7" t="s">
        <v>197</v>
      </c>
      <c r="J110" s="6">
        <f>Data_File!L15</f>
        <v>8355.143547058105</v>
      </c>
      <c r="K110" s="4"/>
    </row>
    <row r="111" spans="2:11" ht="12.75">
      <c r="B111" s="7" t="s">
        <v>207</v>
      </c>
      <c r="D111" s="4">
        <f>Data_File!E13</f>
        <v>35</v>
      </c>
      <c r="H111" s="7" t="s">
        <v>198</v>
      </c>
      <c r="J111" s="6">
        <f>Data_File!L13</f>
        <v>7519.629192352295</v>
      </c>
      <c r="K111" s="5"/>
    </row>
    <row r="112" spans="2:11" ht="12.75">
      <c r="B112" s="7" t="s">
        <v>78</v>
      </c>
      <c r="D112" s="4">
        <f>Data_File!F13</f>
        <v>65.2</v>
      </c>
      <c r="H112" s="7" t="s">
        <v>83</v>
      </c>
      <c r="J112" s="4">
        <f>E13</f>
        <v>6897.396535747196</v>
      </c>
      <c r="K112" s="5"/>
    </row>
    <row r="113" spans="2:10" ht="12.75">
      <c r="B113" s="7" t="s">
        <v>79</v>
      </c>
      <c r="D113" s="5">
        <f>Data_File!S13</f>
        <v>5.566987373473859</v>
      </c>
      <c r="H113" s="7" t="s">
        <v>19</v>
      </c>
      <c r="J113" s="4">
        <f>E19</f>
        <v>82.44126200607276</v>
      </c>
    </row>
    <row r="114" spans="2:11" ht="12.75">
      <c r="B114" s="7" t="s">
        <v>80</v>
      </c>
      <c r="D114" s="4">
        <f>Data_File!G13</f>
        <v>34</v>
      </c>
      <c r="H114" s="7" t="s">
        <v>84</v>
      </c>
      <c r="J114" s="5">
        <f>J110/J112</f>
        <v>1.2113474270698852</v>
      </c>
      <c r="K114" s="1"/>
    </row>
    <row r="115" spans="2:10" ht="12.75">
      <c r="B115" s="7" t="s">
        <v>199</v>
      </c>
      <c r="D115" s="4">
        <f>Data_File!H13</f>
        <v>34</v>
      </c>
      <c r="H115" s="7" t="s">
        <v>82</v>
      </c>
      <c r="J115" s="5">
        <f>E45/F45</f>
        <v>1.5395345506793956</v>
      </c>
    </row>
    <row r="116" spans="2:10" ht="12.75">
      <c r="B116" s="7" t="s">
        <v>81</v>
      </c>
      <c r="D116" s="4">
        <f>Data_File!K13</f>
        <v>25.361869722814834</v>
      </c>
      <c r="H116" s="7" t="s">
        <v>214</v>
      </c>
      <c r="J116" s="5">
        <f>(F16*35.31/60)/(D112/100)/(D110^2.5)/(0.5-0.6*Data_File!G13/100)</f>
        <v>4.555093691943459</v>
      </c>
    </row>
    <row r="117" spans="1:10" ht="12.75">
      <c r="A117" s="7"/>
      <c r="F117" s="9"/>
      <c r="G117" s="9"/>
      <c r="I117" s="8"/>
      <c r="J117" s="8"/>
    </row>
    <row r="118" spans="1:10" ht="15" customHeight="1">
      <c r="A118" s="24"/>
      <c r="B118" s="19"/>
      <c r="C118" s="19"/>
      <c r="D118" s="19"/>
      <c r="E118" s="19"/>
      <c r="F118" s="234" t="s">
        <v>60</v>
      </c>
      <c r="G118" s="234"/>
      <c r="H118" s="19"/>
      <c r="I118" s="8"/>
      <c r="J118" s="8"/>
    </row>
    <row r="119" spans="1:10" ht="15" customHeight="1">
      <c r="A119" s="20"/>
      <c r="B119" s="20"/>
      <c r="C119" s="20"/>
      <c r="D119" s="20"/>
      <c r="E119" s="19"/>
      <c r="F119" s="20" t="s">
        <v>4</v>
      </c>
      <c r="G119" s="20" t="s">
        <v>4</v>
      </c>
      <c r="H119" s="19"/>
      <c r="I119" s="8"/>
      <c r="J119" s="8"/>
    </row>
    <row r="120" spans="1:10" ht="15" customHeight="1">
      <c r="A120" s="2" t="str">
        <f>A70</f>
        <v>i</v>
      </c>
      <c r="B120" s="23" t="str">
        <f>B70</f>
        <v>Mesh</v>
      </c>
      <c r="C120" s="23" t="str">
        <f>C70</f>
        <v>Opening</v>
      </c>
      <c r="D120" s="23" t="str">
        <f>D70</f>
        <v>Mid-Size</v>
      </c>
      <c r="E120" s="19"/>
      <c r="F120" s="22" t="s">
        <v>5</v>
      </c>
      <c r="G120" s="22" t="s">
        <v>7</v>
      </c>
      <c r="H120" s="19"/>
      <c r="I120" s="8"/>
      <c r="J120" s="8"/>
    </row>
    <row r="121" spans="1:10" ht="12.75">
      <c r="A121" s="3"/>
      <c r="I121" s="8"/>
      <c r="J121" s="8"/>
    </row>
    <row r="122" spans="1:10" ht="12.75">
      <c r="A122" s="15">
        <f aca="true" t="shared" si="17" ref="A122:B141">A72</f>
        <v>1</v>
      </c>
      <c r="B122" t="str">
        <f t="shared" si="17"/>
        <v>3/4"</v>
      </c>
      <c r="C122">
        <f aca="true" t="shared" si="18" ref="C122:D141">C72</f>
        <v>19050</v>
      </c>
      <c r="D122" s="6">
        <f t="shared" si="18"/>
        <v>15554.259866673181</v>
      </c>
      <c r="F122" s="5">
        <f aca="true" t="shared" si="19" ref="F122:G141">E24</f>
        <v>99.99999999999999</v>
      </c>
      <c r="G122" s="5">
        <f t="shared" si="19"/>
        <v>99.99999999999996</v>
      </c>
      <c r="I122" s="8"/>
      <c r="J122" s="8"/>
    </row>
    <row r="123" spans="1:10" ht="12.75">
      <c r="A123" s="15">
        <f t="shared" si="17"/>
        <v>2</v>
      </c>
      <c r="B123" t="str">
        <f t="shared" si="17"/>
        <v>1/2"</v>
      </c>
      <c r="C123">
        <f t="shared" si="18"/>
        <v>12700</v>
      </c>
      <c r="D123" s="6">
        <f t="shared" si="18"/>
        <v>10984.079387914127</v>
      </c>
      <c r="F123" s="5">
        <f t="shared" si="19"/>
        <v>99.35449090266565</v>
      </c>
      <c r="G123" s="5">
        <f t="shared" si="19"/>
        <v>99.71857737250966</v>
      </c>
      <c r="I123" s="8"/>
      <c r="J123" s="8"/>
    </row>
    <row r="124" spans="1:10" ht="12.75">
      <c r="A124" s="15">
        <f t="shared" si="17"/>
        <v>3</v>
      </c>
      <c r="B124" t="str">
        <f t="shared" si="17"/>
        <v>3/8"</v>
      </c>
      <c r="C124">
        <f t="shared" si="18"/>
        <v>9500</v>
      </c>
      <c r="D124" s="6">
        <f t="shared" si="18"/>
        <v>7766.917020285462</v>
      </c>
      <c r="F124" s="5">
        <f t="shared" si="19"/>
        <v>98.56688613498542</v>
      </c>
      <c r="G124" s="5">
        <f t="shared" si="19"/>
        <v>99.48511121920328</v>
      </c>
      <c r="I124" s="8"/>
      <c r="J124" s="8"/>
    </row>
    <row r="125" spans="1:10" ht="12.75">
      <c r="A125" s="15">
        <f t="shared" si="17"/>
        <v>4</v>
      </c>
      <c r="B125" t="str">
        <f t="shared" si="17"/>
        <v>1/4"</v>
      </c>
      <c r="C125">
        <f t="shared" si="18"/>
        <v>6350</v>
      </c>
      <c r="D125" s="6">
        <f t="shared" si="18"/>
        <v>5492.039693957064</v>
      </c>
      <c r="F125" s="5">
        <f t="shared" si="19"/>
        <v>97.43139553462176</v>
      </c>
      <c r="G125" s="5">
        <f t="shared" si="19"/>
        <v>99.39902484606384</v>
      </c>
      <c r="I125" s="8"/>
      <c r="J125" s="8"/>
    </row>
    <row r="126" spans="1:10" ht="12.75">
      <c r="A126" s="15">
        <f t="shared" si="17"/>
        <v>5</v>
      </c>
      <c r="B126">
        <f t="shared" si="17"/>
        <v>4</v>
      </c>
      <c r="C126">
        <f t="shared" si="18"/>
        <v>4750</v>
      </c>
      <c r="D126" s="6">
        <f t="shared" si="18"/>
        <v>3989.047505357639</v>
      </c>
      <c r="F126" s="5">
        <f t="shared" si="19"/>
        <v>96.60106183236273</v>
      </c>
      <c r="G126" s="5">
        <f t="shared" si="19"/>
        <v>99.31850399378123</v>
      </c>
      <c r="I126" s="8"/>
      <c r="J126" s="8"/>
    </row>
    <row r="127" spans="1:10" ht="12.75">
      <c r="A127" s="15">
        <f t="shared" si="17"/>
        <v>6</v>
      </c>
      <c r="B127">
        <f t="shared" si="17"/>
        <v>6</v>
      </c>
      <c r="C127">
        <f t="shared" si="18"/>
        <v>3350</v>
      </c>
      <c r="D127" s="6">
        <f t="shared" si="18"/>
        <v>2811.761014026619</v>
      </c>
      <c r="F127" s="5">
        <f t="shared" si="19"/>
        <v>95.14943287389595</v>
      </c>
      <c r="G127" s="5">
        <f t="shared" si="19"/>
        <v>98.98296916208103</v>
      </c>
      <c r="I127" s="8"/>
      <c r="J127" s="8"/>
    </row>
    <row r="128" spans="1:10" ht="12.75">
      <c r="A128" s="15">
        <f t="shared" si="17"/>
        <v>7</v>
      </c>
      <c r="B128">
        <f t="shared" si="17"/>
        <v>8</v>
      </c>
      <c r="C128">
        <f t="shared" si="18"/>
        <v>2360</v>
      </c>
      <c r="D128" s="6">
        <f t="shared" si="18"/>
        <v>2002.9977533686852</v>
      </c>
      <c r="F128" s="5">
        <f t="shared" si="19"/>
        <v>93.14609940984883</v>
      </c>
      <c r="G128" s="5">
        <f t="shared" si="19"/>
        <v>98.23885310190099</v>
      </c>
      <c r="I128" s="8"/>
      <c r="J128" s="8"/>
    </row>
    <row r="129" spans="1:10" ht="12.75">
      <c r="A129" s="15">
        <f t="shared" si="17"/>
        <v>8</v>
      </c>
      <c r="B129">
        <f t="shared" si="17"/>
        <v>10</v>
      </c>
      <c r="C129">
        <f t="shared" si="18"/>
        <v>1700</v>
      </c>
      <c r="D129" s="6">
        <f t="shared" si="18"/>
        <v>1416.333294108417</v>
      </c>
      <c r="F129" s="5">
        <f t="shared" si="19"/>
        <v>90.78695543851525</v>
      </c>
      <c r="G129" s="5">
        <f t="shared" si="19"/>
        <v>97.25365222319485</v>
      </c>
      <c r="I129" s="8"/>
      <c r="J129" s="8"/>
    </row>
    <row r="130" spans="1:10" ht="12.75">
      <c r="A130" s="15">
        <f t="shared" si="17"/>
        <v>9</v>
      </c>
      <c r="B130">
        <f t="shared" si="17"/>
        <v>14</v>
      </c>
      <c r="C130">
        <f t="shared" si="18"/>
        <v>1180</v>
      </c>
      <c r="D130" s="6">
        <f t="shared" si="18"/>
        <v>1001.4988766843426</v>
      </c>
      <c r="F130" s="5">
        <f t="shared" si="19"/>
        <v>87.14245107844683</v>
      </c>
      <c r="G130" s="5">
        <f t="shared" si="19"/>
        <v>95.21667812490618</v>
      </c>
      <c r="I130" s="8"/>
      <c r="J130" s="8"/>
    </row>
    <row r="131" spans="1:10" ht="12.75">
      <c r="A131" s="15">
        <f t="shared" si="17"/>
        <v>10</v>
      </c>
      <c r="B131">
        <f t="shared" si="17"/>
        <v>20</v>
      </c>
      <c r="C131">
        <f t="shared" si="18"/>
        <v>850</v>
      </c>
      <c r="D131" s="6">
        <f t="shared" si="18"/>
        <v>714.142842854285</v>
      </c>
      <c r="F131" s="5">
        <f t="shared" si="19"/>
        <v>82.58035934212448</v>
      </c>
      <c r="G131" s="5">
        <f t="shared" si="19"/>
        <v>92.14460227291349</v>
      </c>
      <c r="I131" s="8"/>
      <c r="J131" s="8"/>
    </row>
    <row r="132" spans="1:10" ht="12.75">
      <c r="A132" s="15">
        <f t="shared" si="17"/>
        <v>11</v>
      </c>
      <c r="B132">
        <f t="shared" si="17"/>
        <v>28</v>
      </c>
      <c r="C132">
        <f t="shared" si="18"/>
        <v>600</v>
      </c>
      <c r="D132" s="6">
        <f t="shared" si="18"/>
        <v>504.9752469181039</v>
      </c>
      <c r="F132" s="5">
        <f t="shared" si="19"/>
        <v>75.47738675780127</v>
      </c>
      <c r="G132" s="5">
        <f t="shared" si="19"/>
        <v>87.26499715282074</v>
      </c>
      <c r="I132" s="8"/>
      <c r="J132" s="8"/>
    </row>
    <row r="133" spans="1:10" ht="12.75">
      <c r="A133" s="15">
        <f t="shared" si="17"/>
        <v>12</v>
      </c>
      <c r="B133">
        <f t="shared" si="17"/>
        <v>35</v>
      </c>
      <c r="C133">
        <f t="shared" si="18"/>
        <v>425</v>
      </c>
      <c r="D133" s="6">
        <f t="shared" si="18"/>
        <v>357.0714214271425</v>
      </c>
      <c r="F133" s="5">
        <f t="shared" si="19"/>
        <v>63.131335229521234</v>
      </c>
      <c r="G133" s="5">
        <f t="shared" si="19"/>
        <v>75.45393049405324</v>
      </c>
      <c r="I133" s="8"/>
      <c r="J133" s="8"/>
    </row>
    <row r="134" spans="1:10" ht="12.75">
      <c r="A134" s="15">
        <f t="shared" si="17"/>
        <v>13</v>
      </c>
      <c r="B134">
        <f t="shared" si="17"/>
        <v>48</v>
      </c>
      <c r="C134">
        <f t="shared" si="18"/>
        <v>300</v>
      </c>
      <c r="D134" s="6">
        <f t="shared" si="18"/>
        <v>252.19040425836982</v>
      </c>
      <c r="F134" s="5">
        <f t="shared" si="19"/>
        <v>46.03092783861932</v>
      </c>
      <c r="G134" s="5">
        <f t="shared" si="19"/>
        <v>58.52096372835453</v>
      </c>
      <c r="I134" s="8"/>
      <c r="J134" s="8"/>
    </row>
    <row r="135" spans="1:10" ht="12.75">
      <c r="A135" s="15">
        <f t="shared" si="17"/>
        <v>14</v>
      </c>
      <c r="B135">
        <f t="shared" si="17"/>
        <v>65</v>
      </c>
      <c r="C135">
        <f t="shared" si="18"/>
        <v>212</v>
      </c>
      <c r="D135" s="6">
        <f t="shared" si="18"/>
        <v>178.3255450012701</v>
      </c>
      <c r="F135" s="5">
        <f t="shared" si="19"/>
        <v>31.016956720477715</v>
      </c>
      <c r="G135" s="5">
        <f t="shared" si="19"/>
        <v>42.69832760788249</v>
      </c>
      <c r="I135" s="8"/>
      <c r="J135" s="8"/>
    </row>
    <row r="136" spans="1:10" ht="12.75">
      <c r="A136" s="15">
        <f t="shared" si="17"/>
        <v>15</v>
      </c>
      <c r="B136">
        <f t="shared" si="17"/>
        <v>100</v>
      </c>
      <c r="C136">
        <f t="shared" si="18"/>
        <v>150</v>
      </c>
      <c r="D136" s="6">
        <f t="shared" si="18"/>
        <v>126.09520212918491</v>
      </c>
      <c r="F136" s="5">
        <f t="shared" si="19"/>
        <v>20.44429526265425</v>
      </c>
      <c r="G136" s="5">
        <f t="shared" si="19"/>
        <v>30.676412852127918</v>
      </c>
      <c r="I136" s="8"/>
      <c r="J136" s="8"/>
    </row>
    <row r="137" spans="1:10" ht="12.75">
      <c r="A137" s="15">
        <f t="shared" si="17"/>
        <v>16</v>
      </c>
      <c r="B137">
        <f t="shared" si="17"/>
        <v>150</v>
      </c>
      <c r="C137">
        <f t="shared" si="18"/>
        <v>106</v>
      </c>
      <c r="D137" s="6">
        <f t="shared" si="18"/>
        <v>89.16277250063504</v>
      </c>
      <c r="F137" s="5">
        <f t="shared" si="19"/>
        <v>11.488926726468716</v>
      </c>
      <c r="G137" s="5">
        <f t="shared" si="19"/>
        <v>19.44682417644404</v>
      </c>
      <c r="I137" s="8"/>
      <c r="J137" s="8"/>
    </row>
    <row r="138" spans="1:10" ht="12.75">
      <c r="A138" s="15">
        <f t="shared" si="17"/>
        <v>17</v>
      </c>
      <c r="B138">
        <f t="shared" si="17"/>
        <v>200</v>
      </c>
      <c r="C138">
        <f t="shared" si="18"/>
        <v>75</v>
      </c>
      <c r="D138" s="6">
        <f t="shared" si="18"/>
        <v>63.047601064592456</v>
      </c>
      <c r="F138" s="5">
        <f t="shared" si="19"/>
        <v>7.625395635889417</v>
      </c>
      <c r="G138" s="5">
        <f t="shared" si="19"/>
        <v>14.492547001636307</v>
      </c>
      <c r="I138" s="8"/>
      <c r="J138" s="8"/>
    </row>
    <row r="139" spans="1:10" ht="12.75">
      <c r="A139" s="15">
        <f t="shared" si="17"/>
        <v>18</v>
      </c>
      <c r="B139">
        <f t="shared" si="17"/>
        <v>270</v>
      </c>
      <c r="C139">
        <f t="shared" si="18"/>
        <v>53</v>
      </c>
      <c r="D139" s="6">
        <f t="shared" si="18"/>
        <v>48.29078587059855</v>
      </c>
      <c r="F139" s="5">
        <f t="shared" si="19"/>
        <v>5.001034370033029</v>
      </c>
      <c r="G139" s="5">
        <f t="shared" si="19"/>
        <v>10.744353522579589</v>
      </c>
      <c r="I139" s="8"/>
      <c r="J139" s="8"/>
    </row>
    <row r="140" spans="1:10" ht="12.75">
      <c r="A140" s="15">
        <f t="shared" si="17"/>
        <v>19</v>
      </c>
      <c r="B140">
        <f t="shared" si="17"/>
        <v>325</v>
      </c>
      <c r="C140">
        <f t="shared" si="18"/>
        <v>44</v>
      </c>
      <c r="D140" s="6">
        <f t="shared" si="18"/>
        <v>40.34848200366403</v>
      </c>
      <c r="F140" s="5">
        <f t="shared" si="19"/>
        <v>4.144886555480982</v>
      </c>
      <c r="G140" s="5">
        <f t="shared" si="19"/>
        <v>9.432500556652492</v>
      </c>
      <c r="I140" s="8"/>
      <c r="J140" s="8"/>
    </row>
    <row r="141" spans="1:10" ht="12.75">
      <c r="A141" s="15">
        <f t="shared" si="17"/>
        <v>20</v>
      </c>
      <c r="B141" s="16">
        <f t="shared" si="17"/>
        <v>400</v>
      </c>
      <c r="C141" s="16">
        <f t="shared" si="18"/>
        <v>37</v>
      </c>
      <c r="D141" s="17">
        <f t="shared" si="18"/>
        <v>18.5</v>
      </c>
      <c r="E141" s="16"/>
      <c r="F141" s="18">
        <f t="shared" si="19"/>
        <v>3.5806723236688494</v>
      </c>
      <c r="G141" s="18">
        <f t="shared" si="19"/>
        <v>8.413872795129574</v>
      </c>
      <c r="I141" s="8"/>
      <c r="J141" s="8"/>
    </row>
    <row r="142" spans="2:7" ht="12.75">
      <c r="B142" s="9"/>
      <c r="C142" s="9"/>
      <c r="D142" s="9"/>
      <c r="E142" s="9"/>
      <c r="F142" s="9"/>
      <c r="G142" s="9"/>
    </row>
    <row r="143" spans="2:7" ht="18" customHeight="1">
      <c r="B143" s="12"/>
      <c r="C143" s="12" t="s">
        <v>61</v>
      </c>
      <c r="D143" s="12"/>
      <c r="E143" s="12"/>
      <c r="F143" s="13">
        <f>E45</f>
        <v>751.6691634819655</v>
      </c>
      <c r="G143" s="13">
        <f>F45</f>
        <v>488.2444263107017</v>
      </c>
    </row>
  </sheetData>
  <sheetProtection insertColumns="0" insertRows="0"/>
  <mergeCells count="19">
    <mergeCell ref="E1:G1"/>
    <mergeCell ref="E49:G49"/>
    <mergeCell ref="E101:G101"/>
    <mergeCell ref="D21:J21"/>
    <mergeCell ref="E69:G69"/>
    <mergeCell ref="B50:J50"/>
    <mergeCell ref="B2:J2"/>
    <mergeCell ref="B3:J3"/>
    <mergeCell ref="B8:J8"/>
    <mergeCell ref="B9:J9"/>
    <mergeCell ref="B51:J51"/>
    <mergeCell ref="B56:J56"/>
    <mergeCell ref="F118:G118"/>
    <mergeCell ref="I69:J69"/>
    <mergeCell ref="B67:J67"/>
    <mergeCell ref="I93:J93"/>
    <mergeCell ref="B108:J108"/>
    <mergeCell ref="B102:J102"/>
    <mergeCell ref="B103:J103"/>
  </mergeCells>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2" manualBreakCount="2">
    <brk id="48" max="9" man="1"/>
    <brk id="100" max="9" man="1"/>
  </rowBreaks>
  <drawing r:id="rId1"/>
</worksheet>
</file>

<file path=xl/worksheets/sheet6.xml><?xml version="1.0" encoding="utf-8"?>
<worksheet xmlns="http://schemas.openxmlformats.org/spreadsheetml/2006/main" xmlns:r="http://schemas.openxmlformats.org/officeDocument/2006/relationships">
  <sheetPr codeName="Sheet6"/>
  <dimension ref="A1:AI45"/>
  <sheetViews>
    <sheetView zoomScalePageLayoutView="0" workbookViewId="0" topLeftCell="A1">
      <selection activeCell="A1" sqref="A1"/>
    </sheetView>
  </sheetViews>
  <sheetFormatPr defaultColWidth="9.140625" defaultRowHeight="12.75"/>
  <cols>
    <col min="1" max="1" width="9.7109375" style="0" customWidth="1"/>
    <col min="2" max="6" width="9.140625" style="0" customWidth="1"/>
    <col min="7" max="7" width="20.7109375" style="0" customWidth="1"/>
    <col min="8" max="10" width="9.140625" style="0" customWidth="1"/>
    <col min="11" max="11" width="1.7109375" style="0" customWidth="1"/>
    <col min="12" max="14" width="10.7109375" style="0" customWidth="1"/>
    <col min="15" max="15" width="1.7109375" style="0" customWidth="1"/>
    <col min="16" max="18" width="10.7109375" style="0" customWidth="1"/>
    <col min="19" max="19" width="1.7109375" style="0" customWidth="1"/>
    <col min="20" max="22" width="9.140625" style="0" customWidth="1"/>
    <col min="23" max="23" width="1.7109375" style="0" customWidth="1"/>
    <col min="24" max="26" width="9.140625" style="0" customWidth="1"/>
    <col min="27" max="27" width="1.7109375" style="0" customWidth="1"/>
  </cols>
  <sheetData>
    <row r="1" spans="1:28" ht="12.75">
      <c r="A1" s="109" t="s">
        <v>40</v>
      </c>
      <c r="B1" s="109"/>
      <c r="C1" s="109"/>
      <c r="D1" s="109"/>
      <c r="E1" s="110">
        <f>Data_File!D18</f>
        <v>11</v>
      </c>
      <c r="F1" s="106"/>
      <c r="G1" s="106"/>
      <c r="H1" s="106"/>
      <c r="I1" s="106"/>
      <c r="J1" s="106"/>
      <c r="K1" s="106"/>
      <c r="L1" s="106"/>
      <c r="M1" s="106"/>
      <c r="N1" s="106"/>
      <c r="O1" s="106"/>
      <c r="P1" s="106"/>
      <c r="Q1" s="106"/>
      <c r="R1" s="106"/>
      <c r="S1" s="106"/>
      <c r="T1" s="106"/>
      <c r="U1" s="106"/>
      <c r="V1" s="106"/>
      <c r="W1" s="106"/>
      <c r="X1" s="106"/>
      <c r="Y1" s="106"/>
      <c r="Z1" s="106"/>
      <c r="AA1" s="106"/>
      <c r="AB1" s="106"/>
    </row>
    <row r="2" spans="1:28" ht="12.75">
      <c r="A2" s="109" t="s">
        <v>33</v>
      </c>
      <c r="B2" s="109"/>
      <c r="C2" s="109"/>
      <c r="D2" s="109"/>
      <c r="E2" s="109"/>
      <c r="F2" s="106"/>
      <c r="G2" s="106"/>
      <c r="H2" s="106"/>
      <c r="I2" s="106"/>
      <c r="J2" s="106"/>
      <c r="K2" s="106"/>
      <c r="L2" s="106"/>
      <c r="M2" s="106"/>
      <c r="N2" s="106"/>
      <c r="O2" s="106"/>
      <c r="P2" s="106"/>
      <c r="Q2" s="106"/>
      <c r="R2" s="106"/>
      <c r="S2" s="106"/>
      <c r="T2" s="106"/>
      <c r="U2" s="106"/>
      <c r="V2" s="106"/>
      <c r="W2" s="106"/>
      <c r="X2" s="106"/>
      <c r="Y2" s="106"/>
      <c r="Z2" s="106"/>
      <c r="AA2" s="106"/>
      <c r="AB2" s="106"/>
    </row>
    <row r="3" spans="1:28" ht="12.75">
      <c r="A3" s="106" t="s">
        <v>28</v>
      </c>
      <c r="B3" s="106" t="s">
        <v>29</v>
      </c>
      <c r="C3" s="106" t="s">
        <v>30</v>
      </c>
      <c r="D3" s="106" t="s">
        <v>31</v>
      </c>
      <c r="E3" s="106" t="s">
        <v>32</v>
      </c>
      <c r="F3" s="106"/>
      <c r="G3" s="106"/>
      <c r="H3" s="106"/>
      <c r="I3" s="106"/>
      <c r="J3" s="106"/>
      <c r="K3" s="106"/>
      <c r="L3" s="106"/>
      <c r="M3" s="106"/>
      <c r="N3" s="106"/>
      <c r="O3" s="106"/>
      <c r="P3" s="106"/>
      <c r="Q3" s="106"/>
      <c r="R3" s="106"/>
      <c r="S3" s="106"/>
      <c r="T3" s="106"/>
      <c r="U3" s="106"/>
      <c r="V3" s="106"/>
      <c r="W3" s="106"/>
      <c r="X3" s="106"/>
      <c r="Y3" s="106"/>
      <c r="Z3" s="106"/>
      <c r="AA3" s="106"/>
      <c r="AB3" s="106"/>
    </row>
    <row r="4" spans="1:28" ht="12.75">
      <c r="A4" s="110">
        <f>Data_File!E18</f>
        <v>26</v>
      </c>
      <c r="B4" s="110">
        <f>Data_File!F18</f>
        <v>90</v>
      </c>
      <c r="C4" s="110">
        <f>Data_File!G18</f>
        <v>9.8</v>
      </c>
      <c r="D4" s="110">
        <f>Data_File!H18</f>
        <v>8</v>
      </c>
      <c r="E4" s="110">
        <f>Data_File!I18</f>
        <v>5.25</v>
      </c>
      <c r="F4" s="106"/>
      <c r="G4" s="106"/>
      <c r="H4" s="106"/>
      <c r="I4" s="106"/>
      <c r="J4" s="106"/>
      <c r="K4" s="106"/>
      <c r="L4" s="106"/>
      <c r="M4" s="106"/>
      <c r="N4" s="106"/>
      <c r="O4" s="106"/>
      <c r="P4" s="106"/>
      <c r="Q4" s="106"/>
      <c r="R4" s="106"/>
      <c r="S4" s="106"/>
      <c r="T4" s="106"/>
      <c r="U4" s="106"/>
      <c r="V4" s="106"/>
      <c r="W4" s="106"/>
      <c r="X4" s="106"/>
      <c r="Y4" s="106"/>
      <c r="Z4" s="106"/>
      <c r="AA4" s="106"/>
      <c r="AB4" s="106"/>
    </row>
    <row r="5" spans="1:28" ht="12.75">
      <c r="A5" s="109" t="s">
        <v>22</v>
      </c>
      <c r="B5" s="109"/>
      <c r="C5" s="109"/>
      <c r="D5" s="109"/>
      <c r="E5" s="109"/>
      <c r="F5" s="106"/>
      <c r="G5" s="106"/>
      <c r="H5" s="106"/>
      <c r="I5" s="106"/>
      <c r="J5" s="106"/>
      <c r="K5" s="106"/>
      <c r="L5" s="106"/>
      <c r="M5" s="106"/>
      <c r="N5" s="106"/>
      <c r="O5" s="106"/>
      <c r="P5" s="106"/>
      <c r="Q5" s="106"/>
      <c r="R5" s="106"/>
      <c r="S5" s="106"/>
      <c r="T5" s="106"/>
      <c r="U5" s="106"/>
      <c r="V5" s="106"/>
      <c r="W5" s="106"/>
      <c r="X5" s="106"/>
      <c r="Y5" s="106"/>
      <c r="Z5" s="106"/>
      <c r="AA5" s="106"/>
      <c r="AB5" s="106"/>
    </row>
    <row r="6" spans="1:28" ht="12.75">
      <c r="A6" s="107" t="s">
        <v>23</v>
      </c>
      <c r="B6" s="106" t="s">
        <v>24</v>
      </c>
      <c r="C6" s="106" t="s">
        <v>25</v>
      </c>
      <c r="D6" s="106" t="s">
        <v>26</v>
      </c>
      <c r="E6" s="107" t="s">
        <v>27</v>
      </c>
      <c r="F6" s="106"/>
      <c r="G6" s="106"/>
      <c r="H6" s="109" t="s">
        <v>8</v>
      </c>
      <c r="I6" s="109" t="s">
        <v>8</v>
      </c>
      <c r="J6" s="109" t="s">
        <v>8</v>
      </c>
      <c r="K6" s="106"/>
      <c r="L6" s="106"/>
      <c r="M6" s="106"/>
      <c r="N6" s="106"/>
      <c r="O6" s="106"/>
      <c r="P6" s="106"/>
      <c r="Q6" s="106"/>
      <c r="R6" s="106"/>
      <c r="S6" s="106"/>
      <c r="T6" s="106"/>
      <c r="U6" s="106"/>
      <c r="V6" s="106"/>
      <c r="W6" s="106"/>
      <c r="X6" s="106"/>
      <c r="Y6" s="106"/>
      <c r="Z6" s="106"/>
      <c r="AA6" s="106"/>
      <c r="AB6" s="106"/>
    </row>
    <row r="7" spans="1:28" ht="12.75">
      <c r="A7" s="110">
        <f>E10/(($H$11^1.46)*EXP(-7.63*$H$14/100+10.79*$H$14*$H$14/10000)/(($A$4^0.2)*($B$4^0.15)*($C$4^0.51)*($D$4^1.65)*($E$4^0.53)))</f>
        <v>3.5343319706687764</v>
      </c>
      <c r="B7" s="110">
        <f>E12/(($A$4^0.44)*($C$4^0.58)*($D$4^1.91)*EXP(11.12*$H$14/100)/(($E$4^0.8)*($B$4^0.37)*($H$11^0.44)*($H$12-1)^0.5))</f>
        <v>0.28513286497769913</v>
      </c>
      <c r="C7" s="110">
        <f>E9/(B4^0.19*(E4/D4)^2.64*EXP(-4.33*H14/100+8.77*H14*H14/10000)/(E10^0.54*A4^0.38))</f>
        <v>30.05003395362672</v>
      </c>
      <c r="D7" s="110">
        <f>LN(E16/(A4*A4*B4/H11)^0.15)+1.58*E9/(E9+1)</f>
        <v>-0.16438483345958843</v>
      </c>
      <c r="E7" s="110">
        <f>E14/E13</f>
        <v>0.07254152430291065</v>
      </c>
      <c r="F7" s="106"/>
      <c r="G7" s="106"/>
      <c r="H7" s="109" t="s">
        <v>5</v>
      </c>
      <c r="I7" s="109" t="s">
        <v>9</v>
      </c>
      <c r="J7" s="109" t="s">
        <v>10</v>
      </c>
      <c r="K7" s="106"/>
      <c r="L7" s="106"/>
      <c r="M7" s="106"/>
      <c r="N7" s="106"/>
      <c r="O7" s="106"/>
      <c r="P7" s="106"/>
      <c r="Q7" s="106"/>
      <c r="R7" s="106"/>
      <c r="S7" s="106"/>
      <c r="T7" s="106"/>
      <c r="U7" s="106"/>
      <c r="V7" s="106"/>
      <c r="W7" s="106"/>
      <c r="X7" s="106"/>
      <c r="Y7" s="106"/>
      <c r="Z7" s="106"/>
      <c r="AA7" s="106"/>
      <c r="AB7" s="106"/>
    </row>
    <row r="8" spans="1:28" ht="12.75">
      <c r="A8" s="109" t="s">
        <v>35</v>
      </c>
      <c r="B8" s="109"/>
      <c r="C8" s="109"/>
      <c r="D8" s="109"/>
      <c r="E8" s="110">
        <f>I8/J8</f>
        <v>4.134634058114852</v>
      </c>
      <c r="F8" s="106"/>
      <c r="G8" s="106" t="s">
        <v>15</v>
      </c>
      <c r="H8" s="108">
        <f>Data_File!AB46/E1</f>
        <v>801.6739492002191</v>
      </c>
      <c r="I8" s="108">
        <f>H8-J8</f>
        <v>645.5432609901719</v>
      </c>
      <c r="J8" s="110">
        <f>J43/E1</f>
        <v>156.13068821004717</v>
      </c>
      <c r="K8" s="106"/>
      <c r="L8" s="106"/>
      <c r="M8" s="106"/>
      <c r="N8" s="106"/>
      <c r="O8" s="106"/>
      <c r="P8" s="106"/>
      <c r="Q8" s="106"/>
      <c r="R8" s="106"/>
      <c r="S8" s="106"/>
      <c r="T8" s="106"/>
      <c r="U8" s="106"/>
      <c r="V8" s="106"/>
      <c r="W8" s="106"/>
      <c r="X8" s="106"/>
      <c r="Y8" s="106"/>
      <c r="Z8" s="106"/>
      <c r="AA8" s="106"/>
      <c r="AB8" s="106"/>
    </row>
    <row r="9" spans="1:28" ht="12.75">
      <c r="A9" s="109" t="s">
        <v>34</v>
      </c>
      <c r="B9" s="109"/>
      <c r="C9" s="109"/>
      <c r="D9" s="109"/>
      <c r="E9" s="110">
        <f>I11/J11</f>
        <v>1.413574343419818</v>
      </c>
      <c r="F9" s="106"/>
      <c r="G9" s="106" t="s">
        <v>17</v>
      </c>
      <c r="H9" s="108">
        <f>H10-H8</f>
        <v>323.15086454954917</v>
      </c>
      <c r="I9" s="108">
        <f>H9-J9</f>
        <v>137.4909202947047</v>
      </c>
      <c r="J9" s="108">
        <f>J10-J8</f>
        <v>185.65994425484448</v>
      </c>
      <c r="K9" s="106"/>
      <c r="L9" s="106"/>
      <c r="M9" s="106"/>
      <c r="N9" s="106"/>
      <c r="O9" s="106"/>
      <c r="P9" s="106"/>
      <c r="Q9" s="106"/>
      <c r="R9" s="106"/>
      <c r="S9" s="106"/>
      <c r="T9" s="106"/>
      <c r="U9" s="106"/>
      <c r="V9" s="106"/>
      <c r="W9" s="106"/>
      <c r="X9" s="106"/>
      <c r="Y9" s="106"/>
      <c r="Z9" s="106"/>
      <c r="AA9" s="106"/>
      <c r="AB9" s="106"/>
    </row>
    <row r="10" spans="1:28" ht="12.75">
      <c r="A10" s="109" t="s">
        <v>39</v>
      </c>
      <c r="B10" s="109"/>
      <c r="C10" s="109"/>
      <c r="D10" s="109"/>
      <c r="E10" s="110">
        <f>E11/H13/0.433</f>
        <v>11.016954523159809</v>
      </c>
      <c r="F10" s="106"/>
      <c r="G10" s="106" t="s">
        <v>14</v>
      </c>
      <c r="H10" s="110">
        <f>H8/H15*100</f>
        <v>1124.8248137497683</v>
      </c>
      <c r="I10" s="110">
        <f>I8+I9</f>
        <v>783.0341812848766</v>
      </c>
      <c r="J10" s="110">
        <f>J8/J15*100</f>
        <v>341.79063246489164</v>
      </c>
      <c r="K10" s="106"/>
      <c r="L10" s="106"/>
      <c r="M10" s="106"/>
      <c r="N10" s="106"/>
      <c r="O10" s="106"/>
      <c r="P10" s="106"/>
      <c r="Q10" s="106"/>
      <c r="R10" s="106"/>
      <c r="S10" s="106"/>
      <c r="T10" s="106"/>
      <c r="U10" s="106"/>
      <c r="V10" s="106"/>
      <c r="W10" s="106"/>
      <c r="X10" s="106"/>
      <c r="Y10" s="106"/>
      <c r="Z10" s="106"/>
      <c r="AA10" s="106"/>
      <c r="AB10" s="106"/>
    </row>
    <row r="11" spans="1:28" ht="12.75">
      <c r="A11" s="109" t="s">
        <v>36</v>
      </c>
      <c r="B11" s="109"/>
      <c r="C11" s="109"/>
      <c r="D11" s="109"/>
      <c r="E11" s="108">
        <f>Data_File!J18</f>
        <v>9.6</v>
      </c>
      <c r="F11" s="106"/>
      <c r="G11" s="106" t="s">
        <v>16</v>
      </c>
      <c r="H11" s="110">
        <f>H8/H12+H9</f>
        <v>558.9373201966724</v>
      </c>
      <c r="I11" s="110">
        <f>I8/I12+I9</f>
        <v>327.3565852918141</v>
      </c>
      <c r="J11" s="110">
        <f>J8/J12+J9</f>
        <v>231.58073490485836</v>
      </c>
      <c r="K11" s="106"/>
      <c r="L11" s="106"/>
      <c r="M11" s="106"/>
      <c r="N11" s="106"/>
      <c r="O11" s="106"/>
      <c r="P11" s="106"/>
      <c r="Q11" s="106"/>
      <c r="R11" s="106"/>
      <c r="S11" s="106"/>
      <c r="T11" s="106"/>
      <c r="U11" s="106"/>
      <c r="V11" s="106"/>
      <c r="W11" s="106"/>
      <c r="X11" s="106"/>
      <c r="Y11" s="106"/>
      <c r="Z11" s="106"/>
      <c r="AA11" s="106"/>
      <c r="AB11" s="106"/>
    </row>
    <row r="12" spans="1:28" ht="12.75">
      <c r="A12" s="109" t="s">
        <v>37</v>
      </c>
      <c r="B12" s="109"/>
      <c r="C12" s="109"/>
      <c r="D12" s="109"/>
      <c r="E12" s="110">
        <f>Control_Panel!E21</f>
        <v>52.066504171463286</v>
      </c>
      <c r="F12" s="106"/>
      <c r="G12" s="106" t="s">
        <v>20</v>
      </c>
      <c r="H12" s="110">
        <f>Data_File!$R17</f>
        <v>3.4</v>
      </c>
      <c r="I12" s="110">
        <f>Data_File!$R17</f>
        <v>3.4</v>
      </c>
      <c r="J12" s="110">
        <f>Data_File!$R17</f>
        <v>3.4</v>
      </c>
      <c r="K12" s="106"/>
      <c r="L12" s="106"/>
      <c r="M12" s="106"/>
      <c r="N12" s="106"/>
      <c r="O12" s="106"/>
      <c r="P12" s="106"/>
      <c r="Q12" s="106"/>
      <c r="R12" s="106"/>
      <c r="S12" s="106"/>
      <c r="T12" s="106"/>
      <c r="U12" s="106"/>
      <c r="V12" s="106"/>
      <c r="W12" s="106"/>
      <c r="X12" s="106"/>
      <c r="Y12" s="106"/>
      <c r="Z12" s="106"/>
      <c r="AA12" s="106"/>
      <c r="AB12" s="106"/>
    </row>
    <row r="13" spans="1:28" ht="12.75">
      <c r="A13" s="109" t="s">
        <v>38</v>
      </c>
      <c r="B13" s="109"/>
      <c r="C13" s="109"/>
      <c r="D13" s="109"/>
      <c r="E13" s="110">
        <f>I9/H9</f>
        <v>0.4254697584868229</v>
      </c>
      <c r="F13" s="106"/>
      <c r="G13" s="106" t="s">
        <v>21</v>
      </c>
      <c r="H13" s="110">
        <f>H10/H11</f>
        <v>2.012434620314811</v>
      </c>
      <c r="I13" s="110">
        <f>I10/I11</f>
        <v>2.3919915360396975</v>
      </c>
      <c r="J13" s="110">
        <f>J10/J11</f>
        <v>1.4759027023785525</v>
      </c>
      <c r="K13" s="106"/>
      <c r="L13" s="106"/>
      <c r="M13" s="106"/>
      <c r="N13" s="106"/>
      <c r="O13" s="106"/>
      <c r="P13" s="106"/>
      <c r="Q13" s="106"/>
      <c r="R13" s="106"/>
      <c r="S13" s="106"/>
      <c r="T13" s="106"/>
      <c r="U13" s="106"/>
      <c r="V13" s="106"/>
      <c r="W13" s="106"/>
      <c r="X13" s="106"/>
      <c r="Y13" s="106"/>
      <c r="Z13" s="106"/>
      <c r="AA13" s="106"/>
      <c r="AB13" s="106"/>
    </row>
    <row r="14" spans="1:28" ht="12.75">
      <c r="A14" s="109" t="s">
        <v>116</v>
      </c>
      <c r="B14" s="109"/>
      <c r="C14" s="109"/>
      <c r="D14" s="109"/>
      <c r="E14" s="110">
        <f>Control_Panel!C21</f>
        <v>0.030864224825425387</v>
      </c>
      <c r="F14" s="106"/>
      <c r="G14" s="106" t="s">
        <v>18</v>
      </c>
      <c r="H14" s="110">
        <f>H8/H12/H11*100</f>
        <v>42.18477584645044</v>
      </c>
      <c r="I14" s="110">
        <f>I8/I12/I11*100</f>
        <v>57.9996473349874</v>
      </c>
      <c r="J14" s="110">
        <f>J8/J12/J11*100</f>
        <v>19.829279265773028</v>
      </c>
      <c r="K14" s="106"/>
      <c r="L14" s="106"/>
      <c r="M14" s="106"/>
      <c r="N14" s="106"/>
      <c r="O14" s="106"/>
      <c r="P14" s="106"/>
      <c r="Q14" s="106"/>
      <c r="R14" s="106"/>
      <c r="S14" s="106"/>
      <c r="T14" s="106"/>
      <c r="U14" s="106"/>
      <c r="V14" s="106"/>
      <c r="W14" s="106"/>
      <c r="X14" s="106"/>
      <c r="Y14" s="106"/>
      <c r="Z14" s="106"/>
      <c r="AA14" s="106"/>
      <c r="AB14" s="106"/>
    </row>
    <row r="15" spans="1:28" ht="12.75">
      <c r="A15" s="109" t="s">
        <v>117</v>
      </c>
      <c r="B15" s="109"/>
      <c r="C15" s="109"/>
      <c r="D15" s="109"/>
      <c r="E15" s="110">
        <f>Control_Panel!D21</f>
        <v>0.003308263220427109</v>
      </c>
      <c r="F15" s="106"/>
      <c r="G15" s="106" t="s">
        <v>19</v>
      </c>
      <c r="H15" s="108">
        <f>Data_File!AD48</f>
        <v>71.27100499567764</v>
      </c>
      <c r="I15" s="108">
        <f>I8/I10*100</f>
        <v>82.44126200607276</v>
      </c>
      <c r="J15" s="108">
        <f>Data_File!AH48</f>
        <v>45.68021279111116</v>
      </c>
      <c r="K15" s="106"/>
      <c r="L15" s="106"/>
      <c r="M15" s="106"/>
      <c r="N15" s="106"/>
      <c r="O15" s="106"/>
      <c r="P15" s="106"/>
      <c r="Q15" s="106"/>
      <c r="R15" s="106"/>
      <c r="S15" s="106"/>
      <c r="T15" s="106"/>
      <c r="U15" s="106"/>
      <c r="V15" s="106"/>
      <c r="W15" s="106"/>
      <c r="X15" s="106"/>
      <c r="Y15" s="106"/>
      <c r="Z15" s="106"/>
      <c r="AA15" s="106"/>
      <c r="AB15" s="106"/>
    </row>
    <row r="16" spans="1:28" ht="12.75">
      <c r="A16" s="109" t="s">
        <v>43</v>
      </c>
      <c r="B16" s="109"/>
      <c r="C16" s="109"/>
      <c r="D16" s="109"/>
      <c r="E16" s="110">
        <f>Control_Panel!F21</f>
        <v>0.6795943077768243</v>
      </c>
      <c r="F16" s="106"/>
      <c r="G16" s="106"/>
      <c r="H16" s="106"/>
      <c r="I16" s="106"/>
      <c r="J16" s="106"/>
      <c r="K16" s="106"/>
      <c r="L16" s="106"/>
      <c r="M16" s="106"/>
      <c r="N16" s="106"/>
      <c r="O16" s="106"/>
      <c r="P16" s="106"/>
      <c r="Q16" s="106"/>
      <c r="R16" s="106"/>
      <c r="S16" s="106"/>
      <c r="T16" s="106"/>
      <c r="U16" s="106"/>
      <c r="V16" s="106"/>
      <c r="W16" s="106"/>
      <c r="X16" s="106"/>
      <c r="Y16" s="106"/>
      <c r="Z16" s="106"/>
      <c r="AA16" s="106"/>
      <c r="AB16" s="106"/>
    </row>
    <row r="17" spans="1:28" ht="12.75">
      <c r="A17" s="106"/>
      <c r="B17" s="106"/>
      <c r="C17" s="106"/>
      <c r="D17" s="106"/>
      <c r="E17" s="106"/>
      <c r="F17" s="106"/>
      <c r="G17" s="106"/>
      <c r="H17" s="240" t="s">
        <v>122</v>
      </c>
      <c r="I17" s="241"/>
      <c r="J17" s="242"/>
      <c r="K17" s="106"/>
      <c r="L17" s="240" t="s">
        <v>135</v>
      </c>
      <c r="M17" s="241"/>
      <c r="N17" s="242"/>
      <c r="O17" s="106"/>
      <c r="P17" s="240" t="s">
        <v>134</v>
      </c>
      <c r="Q17" s="241"/>
      <c r="R17" s="242"/>
      <c r="S17" s="106"/>
      <c r="T17" s="240" t="s">
        <v>133</v>
      </c>
      <c r="U17" s="241"/>
      <c r="V17" s="242"/>
      <c r="W17" s="106"/>
      <c r="X17" s="240" t="s">
        <v>123</v>
      </c>
      <c r="Y17" s="241"/>
      <c r="Z17" s="242"/>
      <c r="AA17" s="106"/>
      <c r="AB17" s="106"/>
    </row>
    <row r="18" spans="1:28" ht="12.75">
      <c r="A18" s="106"/>
      <c r="B18" s="106" t="s">
        <v>1</v>
      </c>
      <c r="C18" s="106" t="s">
        <v>3</v>
      </c>
      <c r="D18" s="106"/>
      <c r="E18" s="106" t="s">
        <v>41</v>
      </c>
      <c r="F18" s="106"/>
      <c r="G18" s="106"/>
      <c r="H18" s="109" t="s">
        <v>8</v>
      </c>
      <c r="I18" s="109" t="s">
        <v>8</v>
      </c>
      <c r="J18" s="109" t="s">
        <v>8</v>
      </c>
      <c r="K18" s="106"/>
      <c r="L18" s="109" t="s">
        <v>8</v>
      </c>
      <c r="M18" s="109" t="s">
        <v>8</v>
      </c>
      <c r="N18" s="109" t="s">
        <v>8</v>
      </c>
      <c r="O18" s="106"/>
      <c r="P18" s="109" t="s">
        <v>8</v>
      </c>
      <c r="Q18" s="109" t="s">
        <v>8</v>
      </c>
      <c r="R18" s="109" t="s">
        <v>8</v>
      </c>
      <c r="S18" s="106"/>
      <c r="T18" s="109" t="s">
        <v>8</v>
      </c>
      <c r="U18" s="109" t="s">
        <v>8</v>
      </c>
      <c r="V18" s="109" t="s">
        <v>8</v>
      </c>
      <c r="W18" s="106"/>
      <c r="X18" s="109" t="s">
        <v>8</v>
      </c>
      <c r="Y18" s="109" t="s">
        <v>8</v>
      </c>
      <c r="Z18" s="109" t="s">
        <v>8</v>
      </c>
      <c r="AA18" s="106"/>
      <c r="AB18" s="106"/>
    </row>
    <row r="19" spans="1:28" ht="12.75">
      <c r="A19" s="106"/>
      <c r="B19" s="106"/>
      <c r="C19" s="106"/>
      <c r="D19" s="106"/>
      <c r="E19" s="106" t="s">
        <v>42</v>
      </c>
      <c r="F19" s="106"/>
      <c r="G19" s="106"/>
      <c r="H19" s="109" t="s">
        <v>5</v>
      </c>
      <c r="I19" s="109" t="s">
        <v>9</v>
      </c>
      <c r="J19" s="109" t="s">
        <v>10</v>
      </c>
      <c r="K19" s="106"/>
      <c r="L19" s="109" t="s">
        <v>5</v>
      </c>
      <c r="M19" s="109" t="s">
        <v>9</v>
      </c>
      <c r="N19" s="109" t="s">
        <v>10</v>
      </c>
      <c r="O19" s="106"/>
      <c r="P19" s="109" t="s">
        <v>5</v>
      </c>
      <c r="Q19" s="109" t="s">
        <v>9</v>
      </c>
      <c r="R19" s="109" t="s">
        <v>10</v>
      </c>
      <c r="S19" s="106"/>
      <c r="T19" s="109" t="s">
        <v>5</v>
      </c>
      <c r="U19" s="109" t="s">
        <v>9</v>
      </c>
      <c r="V19" s="109" t="s">
        <v>10</v>
      </c>
      <c r="W19" s="106"/>
      <c r="X19" s="109" t="s">
        <v>5</v>
      </c>
      <c r="Y19" s="109" t="s">
        <v>9</v>
      </c>
      <c r="Z19" s="109" t="s">
        <v>10</v>
      </c>
      <c r="AA19" s="106"/>
      <c r="AB19" s="106"/>
    </row>
    <row r="20" spans="1:28" ht="12.7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f>Data_File!O50</f>
        <v>1</v>
      </c>
      <c r="Y20" s="106">
        <f>Data_File!R50</f>
        <v>1</v>
      </c>
      <c r="Z20" s="106">
        <f>Data_File!U50</f>
        <v>1</v>
      </c>
      <c r="AA20" s="106"/>
      <c r="AB20" s="106"/>
    </row>
    <row r="21" spans="1:28" ht="12.75">
      <c r="A21" s="109">
        <v>1</v>
      </c>
      <c r="B21" s="106">
        <f>Data_File!E25</f>
        <v>19050</v>
      </c>
      <c r="C21" s="106"/>
      <c r="D21" s="106"/>
      <c r="E21" s="106"/>
      <c r="F21" s="106"/>
      <c r="G21" s="106"/>
      <c r="H21" s="106"/>
      <c r="I21" s="106"/>
      <c r="J21" s="106"/>
      <c r="K21" s="106"/>
      <c r="L21" s="106"/>
      <c r="M21" s="106"/>
      <c r="N21" s="106"/>
      <c r="O21" s="106"/>
      <c r="P21" s="111">
        <f aca="true" t="shared" si="0" ref="P21:P39">P22+L22</f>
        <v>99.99999999999997</v>
      </c>
      <c r="Q21" s="111">
        <f aca="true" t="shared" si="1" ref="Q21:Q39">Q22+M22</f>
        <v>99.99999999999999</v>
      </c>
      <c r="R21" s="111">
        <f aca="true" t="shared" si="2" ref="R21:R39">R22+N22</f>
        <v>100.00000000000001</v>
      </c>
      <c r="S21" s="106"/>
      <c r="T21" s="111">
        <f>Data_File!AD25</f>
        <v>100</v>
      </c>
      <c r="U21" s="111">
        <f>Data_File!R25</f>
        <v>100</v>
      </c>
      <c r="V21" s="111">
        <f>Data_File!U25</f>
        <v>100</v>
      </c>
      <c r="W21" s="106"/>
      <c r="X21" s="106"/>
      <c r="Y21" s="106"/>
      <c r="Z21" s="106"/>
      <c r="AA21" s="106"/>
      <c r="AB21" s="106"/>
    </row>
    <row r="22" spans="1:28" ht="12.75">
      <c r="A22" s="109">
        <v>2</v>
      </c>
      <c r="B22" s="106">
        <f>Data_File!E26</f>
        <v>12700</v>
      </c>
      <c r="C22" s="106">
        <f>Data_File!F26</f>
        <v>15554.259866673181</v>
      </c>
      <c r="D22" s="106"/>
      <c r="E22" s="106">
        <f>$E$14+(1-$E$14-$E$15)*(1-EXP(-0.693*(C22/$E$12)^$E$16))</f>
        <v>0.9966917367795697</v>
      </c>
      <c r="F22" s="106"/>
      <c r="G22" s="106"/>
      <c r="H22" s="111">
        <f>Data_File!AB26</f>
        <v>45.98959091828107</v>
      </c>
      <c r="I22" s="106">
        <f>H22*E22</f>
        <v>45.83744524612348</v>
      </c>
      <c r="J22" s="111">
        <f>H22-I22</f>
        <v>0.15214567215758734</v>
      </c>
      <c r="K22" s="106"/>
      <c r="L22" s="111">
        <f aca="true" t="shared" si="3" ref="L22:L41">H22/H$43*100</f>
        <v>0.5215177449426808</v>
      </c>
      <c r="M22" s="111">
        <f aca="true" t="shared" si="4" ref="M22:M41">I22/I$43*100</f>
        <v>0.6455090973343393</v>
      </c>
      <c r="N22" s="111">
        <f aca="true" t="shared" si="5" ref="N22:N41">J22/J$43*100</f>
        <v>0.008858876432409643</v>
      </c>
      <c r="O22" s="106"/>
      <c r="P22" s="111">
        <f t="shared" si="0"/>
        <v>99.47848225505729</v>
      </c>
      <c r="Q22" s="111">
        <f t="shared" si="1"/>
        <v>99.35449090266565</v>
      </c>
      <c r="R22" s="111">
        <f t="shared" si="2"/>
        <v>99.9911411235676</v>
      </c>
      <c r="S22" s="106"/>
      <c r="T22" s="111">
        <f>Data_File!AD26</f>
        <v>99.47848225505732</v>
      </c>
      <c r="U22" s="111">
        <f>Data_File!R26</f>
        <v>99.15583319263887</v>
      </c>
      <c r="V22" s="111">
        <f>Data_File!U26</f>
        <v>100</v>
      </c>
      <c r="W22" s="106"/>
      <c r="X22" s="112">
        <v>0</v>
      </c>
      <c r="Y22" s="112">
        <f>$Y$20*((Q22-U22)/U22*100)^2</f>
        <v>0.04013971767248128</v>
      </c>
      <c r="Z22" s="112">
        <f>$Z$20*((R22-V22)/V22*100)^2</f>
        <v>7.847969164450891E-05</v>
      </c>
      <c r="AA22" s="106"/>
      <c r="AB22" s="106"/>
    </row>
    <row r="23" spans="1:28" ht="12.75">
      <c r="A23" s="109">
        <v>3</v>
      </c>
      <c r="B23" s="106">
        <f>Data_File!E27</f>
        <v>9500</v>
      </c>
      <c r="C23" s="106">
        <f>Data_File!F27</f>
        <v>10984.079387914127</v>
      </c>
      <c r="D23" s="106"/>
      <c r="E23" s="106">
        <f aca="true" t="shared" si="6" ref="E23:E41">$E$14+(1-$E$14-$E$15)*(1-EXP(-0.693*(C23/$E$12)^$E$16))</f>
        <v>0.9966917367759819</v>
      </c>
      <c r="F23" s="106"/>
      <c r="G23" s="106"/>
      <c r="H23" s="111">
        <f>Data_File!AB27</f>
        <v>56.11326195186216</v>
      </c>
      <c r="I23" s="106">
        <f aca="true" t="shared" si="7" ref="I23:I41">H23*E23</f>
        <v>55.927624510967114</v>
      </c>
      <c r="J23" s="111">
        <f aca="true" t="shared" si="8" ref="J23:J41">H23-I23</f>
        <v>0.18563744089504297</v>
      </c>
      <c r="K23" s="106"/>
      <c r="L23" s="111">
        <f t="shared" si="3"/>
        <v>0.6363192463814782</v>
      </c>
      <c r="M23" s="111">
        <f t="shared" si="4"/>
        <v>0.7876047676802278</v>
      </c>
      <c r="N23" s="111">
        <f t="shared" si="5"/>
        <v>0.010808977520008431</v>
      </c>
      <c r="O23" s="106"/>
      <c r="P23" s="111">
        <f t="shared" si="0"/>
        <v>98.84216300867581</v>
      </c>
      <c r="Q23" s="111">
        <f t="shared" si="1"/>
        <v>98.56688613498542</v>
      </c>
      <c r="R23" s="111">
        <f t="shared" si="2"/>
        <v>99.98033214604759</v>
      </c>
      <c r="S23" s="106"/>
      <c r="T23" s="111">
        <f>Data_File!AD27</f>
        <v>98.84216300867584</v>
      </c>
      <c r="U23" s="111">
        <f>Data_File!R27</f>
        <v>98.57757892959648</v>
      </c>
      <c r="V23" s="111">
        <f>Data_File!U27</f>
        <v>100</v>
      </c>
      <c r="W23" s="106"/>
      <c r="X23" s="112">
        <v>0</v>
      </c>
      <c r="Y23" s="112">
        <f aca="true" t="shared" si="9" ref="Y23:Y40">$Y$20*((Q23-U23)/U23*100)^2</f>
        <v>0.0001176592713429774</v>
      </c>
      <c r="Z23" s="112">
        <f aca="true" t="shared" si="10" ref="Z23:Z40">$Z$20*((R23-V23)/V23*100)^2</f>
        <v>0.0003868244790934431</v>
      </c>
      <c r="AA23" s="106"/>
      <c r="AB23" s="106"/>
    </row>
    <row r="24" spans="1:28" ht="12.75">
      <c r="A24" s="109">
        <v>4</v>
      </c>
      <c r="B24" s="106">
        <f>Data_File!E28</f>
        <v>6350</v>
      </c>
      <c r="C24" s="106">
        <f>Data_File!F28</f>
        <v>7766.917020285462</v>
      </c>
      <c r="D24" s="106"/>
      <c r="E24" s="106">
        <f t="shared" si="6"/>
        <v>0.9966917358806803</v>
      </c>
      <c r="F24" s="106"/>
      <c r="G24" s="106"/>
      <c r="H24" s="111">
        <f>Data_File!AB28</f>
        <v>80.89854730943841</v>
      </c>
      <c r="I24" s="106">
        <f t="shared" si="7"/>
        <v>80.63091354806951</v>
      </c>
      <c r="J24" s="111">
        <f t="shared" si="8"/>
        <v>0.2676337613688986</v>
      </c>
      <c r="K24" s="106"/>
      <c r="L24" s="111">
        <f t="shared" si="3"/>
        <v>0.9173821101588964</v>
      </c>
      <c r="M24" s="111">
        <f t="shared" si="4"/>
        <v>1.1354906003636678</v>
      </c>
      <c r="N24" s="111">
        <f t="shared" si="5"/>
        <v>0.015583318194239193</v>
      </c>
      <c r="O24" s="106"/>
      <c r="P24" s="111">
        <f t="shared" si="0"/>
        <v>97.92478089851691</v>
      </c>
      <c r="Q24" s="111">
        <f t="shared" si="1"/>
        <v>97.43139553462176</v>
      </c>
      <c r="R24" s="111">
        <f t="shared" si="2"/>
        <v>99.96474882785334</v>
      </c>
      <c r="S24" s="106"/>
      <c r="T24" s="111">
        <f>Data_File!AD28</f>
        <v>97.92478089851694</v>
      </c>
      <c r="U24" s="111">
        <f>Data_File!R28</f>
        <v>97.7671787945298</v>
      </c>
      <c r="V24" s="111">
        <f>Data_File!U28</f>
        <v>100</v>
      </c>
      <c r="W24" s="106"/>
      <c r="X24" s="112">
        <v>0</v>
      </c>
      <c r="Y24" s="112">
        <f t="shared" si="9"/>
        <v>0.11795922641624357</v>
      </c>
      <c r="Z24" s="112">
        <f t="shared" si="10"/>
        <v>0.0012426451377133454</v>
      </c>
      <c r="AA24" s="106"/>
      <c r="AB24" s="106"/>
    </row>
    <row r="25" spans="1:28" ht="12.75">
      <c r="A25" s="109">
        <v>5</v>
      </c>
      <c r="B25" s="106">
        <f>Data_File!E29</f>
        <v>4750</v>
      </c>
      <c r="C25" s="106">
        <f>Data_File!F29</f>
        <v>5492.039693957064</v>
      </c>
      <c r="D25" s="106"/>
      <c r="E25" s="106">
        <f t="shared" si="6"/>
        <v>0.9966916661670521</v>
      </c>
      <c r="F25" s="106"/>
      <c r="G25" s="106"/>
      <c r="H25" s="111">
        <f>Data_File!AB29</f>
        <v>59.15750863257885</v>
      </c>
      <c r="I25" s="106">
        <f t="shared" si="7"/>
        <v>58.961795845296784</v>
      </c>
      <c r="J25" s="111">
        <f t="shared" si="8"/>
        <v>0.1957127872820692</v>
      </c>
      <c r="K25" s="106"/>
      <c r="L25" s="111">
        <f t="shared" si="3"/>
        <v>0.670840724661154</v>
      </c>
      <c r="M25" s="111">
        <f t="shared" si="4"/>
        <v>0.8303337022590264</v>
      </c>
      <c r="N25" s="111">
        <f t="shared" si="5"/>
        <v>0.011395627454841553</v>
      </c>
      <c r="O25" s="106"/>
      <c r="P25" s="111">
        <f t="shared" si="0"/>
        <v>97.25394017385577</v>
      </c>
      <c r="Q25" s="111">
        <f t="shared" si="1"/>
        <v>96.60106183236273</v>
      </c>
      <c r="R25" s="111">
        <f t="shared" si="2"/>
        <v>99.9533532003985</v>
      </c>
      <c r="S25" s="106"/>
      <c r="T25" s="111">
        <f>Data_File!AD29</f>
        <v>97.2539401738558</v>
      </c>
      <c r="U25" s="111">
        <f>Data_File!R29</f>
        <v>97.07496201249367</v>
      </c>
      <c r="V25" s="111">
        <f>Data_File!U29</f>
        <v>100</v>
      </c>
      <c r="W25" s="106"/>
      <c r="X25" s="112">
        <v>0</v>
      </c>
      <c r="Y25" s="112">
        <f t="shared" si="9"/>
        <v>0.23831934084344641</v>
      </c>
      <c r="Z25" s="112">
        <f t="shared" si="10"/>
        <v>0.0021759239130628816</v>
      </c>
      <c r="AA25" s="106"/>
      <c r="AB25" s="106"/>
    </row>
    <row r="26" spans="1:28" ht="12.75">
      <c r="A26" s="109">
        <v>6</v>
      </c>
      <c r="B26" s="106">
        <f>Data_File!E30</f>
        <v>3350</v>
      </c>
      <c r="C26" s="106">
        <f>Data_File!F30</f>
        <v>3989.047505357639</v>
      </c>
      <c r="D26" s="106"/>
      <c r="E26" s="106">
        <f t="shared" si="6"/>
        <v>0.9966899884685755</v>
      </c>
      <c r="F26" s="106"/>
      <c r="G26" s="106"/>
      <c r="H26" s="111">
        <f>Data_File!AB30</f>
        <v>103.42215058665205</v>
      </c>
      <c r="I26" s="106">
        <f t="shared" si="7"/>
        <v>103.0798220756055</v>
      </c>
      <c r="J26" s="111">
        <f t="shared" si="8"/>
        <v>0.3423285110465457</v>
      </c>
      <c r="K26" s="106"/>
      <c r="L26" s="111">
        <f t="shared" si="3"/>
        <v>1.1727977064834716</v>
      </c>
      <c r="M26" s="111">
        <f t="shared" si="4"/>
        <v>1.4516289584667825</v>
      </c>
      <c r="N26" s="111">
        <f t="shared" si="5"/>
        <v>0.019932515566469848</v>
      </c>
      <c r="O26" s="106"/>
      <c r="P26" s="111">
        <f t="shared" si="0"/>
        <v>96.0811424673723</v>
      </c>
      <c r="Q26" s="111">
        <f t="shared" si="1"/>
        <v>95.14943287389595</v>
      </c>
      <c r="R26" s="111">
        <f t="shared" si="2"/>
        <v>99.93342068483203</v>
      </c>
      <c r="S26" s="106"/>
      <c r="T26" s="111">
        <f>Data_File!AD30</f>
        <v>96.08114246737232</v>
      </c>
      <c r="U26" s="111">
        <f>Data_File!R30</f>
        <v>95.79604929934155</v>
      </c>
      <c r="V26" s="111">
        <f>Data_File!U30</f>
        <v>100</v>
      </c>
      <c r="W26" s="106"/>
      <c r="X26" s="112">
        <v>0</v>
      </c>
      <c r="Y26" s="112">
        <f t="shared" si="9"/>
        <v>0.45561526594629675</v>
      </c>
      <c r="Z26" s="112">
        <f t="shared" si="10"/>
        <v>0.004432805208235984</v>
      </c>
      <c r="AA26" s="106"/>
      <c r="AB26" s="106"/>
    </row>
    <row r="27" spans="1:28" ht="12.75">
      <c r="A27" s="109">
        <v>7</v>
      </c>
      <c r="B27" s="106">
        <f>Data_File!E31</f>
        <v>2360</v>
      </c>
      <c r="C27" s="106">
        <f>Data_File!F31</f>
        <v>2811.761014026619</v>
      </c>
      <c r="D27" s="106"/>
      <c r="E27" s="106">
        <f t="shared" si="6"/>
        <v>0.9966630699074603</v>
      </c>
      <c r="F27" s="106"/>
      <c r="G27" s="106"/>
      <c r="H27" s="111">
        <f>Data_File!AB31</f>
        <v>142.73251431769927</v>
      </c>
      <c r="I27" s="106">
        <f t="shared" si="7"/>
        <v>142.25622589548868</v>
      </c>
      <c r="J27" s="111">
        <f t="shared" si="8"/>
        <v>0.47628842221058676</v>
      </c>
      <c r="K27" s="106"/>
      <c r="L27" s="111">
        <f t="shared" si="3"/>
        <v>1.6185736274374245</v>
      </c>
      <c r="M27" s="111">
        <f t="shared" si="4"/>
        <v>2.0033334640471203</v>
      </c>
      <c r="N27" s="111">
        <f t="shared" si="5"/>
        <v>0.027732502796271777</v>
      </c>
      <c r="O27" s="106"/>
      <c r="P27" s="111">
        <f t="shared" si="0"/>
        <v>94.46256883993487</v>
      </c>
      <c r="Q27" s="111">
        <f t="shared" si="1"/>
        <v>93.14609940984883</v>
      </c>
      <c r="R27" s="111">
        <f t="shared" si="2"/>
        <v>99.90568818203576</v>
      </c>
      <c r="S27" s="106"/>
      <c r="T27" s="111">
        <f>Data_File!AD31</f>
        <v>94.46256883993489</v>
      </c>
      <c r="U27" s="111">
        <f>Data_File!R31</f>
        <v>93.94732399122067</v>
      </c>
      <c r="V27" s="111">
        <f>Data_File!U31</f>
        <v>100</v>
      </c>
      <c r="W27" s="106"/>
      <c r="X27" s="112">
        <v>0</v>
      </c>
      <c r="Y27" s="112">
        <f t="shared" si="9"/>
        <v>0.7273437335830182</v>
      </c>
      <c r="Z27" s="112">
        <f t="shared" si="10"/>
        <v>0.008894719007719888</v>
      </c>
      <c r="AA27" s="106"/>
      <c r="AB27" s="106"/>
    </row>
    <row r="28" spans="1:28" ht="12.75">
      <c r="A28" s="109">
        <v>8</v>
      </c>
      <c r="B28" s="106">
        <f>Data_File!E32</f>
        <v>1700</v>
      </c>
      <c r="C28" s="106">
        <f>Data_File!F32</f>
        <v>2002.9977533686852</v>
      </c>
      <c r="D28" s="106"/>
      <c r="E28" s="106">
        <f t="shared" si="6"/>
        <v>0.9964465964751883</v>
      </c>
      <c r="F28" s="106"/>
      <c r="G28" s="106"/>
      <c r="H28" s="111">
        <f>Data_File!AB32</f>
        <v>168.11964108923442</v>
      </c>
      <c r="I28" s="106">
        <f t="shared" si="7"/>
        <v>167.52224416399787</v>
      </c>
      <c r="J28" s="111">
        <f t="shared" si="8"/>
        <v>0.5973969252365521</v>
      </c>
      <c r="K28" s="106"/>
      <c r="L28" s="111">
        <f t="shared" si="3"/>
        <v>1.9064613176756535</v>
      </c>
      <c r="M28" s="111">
        <f t="shared" si="4"/>
        <v>2.359143971333575</v>
      </c>
      <c r="N28" s="111">
        <f t="shared" si="5"/>
        <v>0.034784200343802925</v>
      </c>
      <c r="O28" s="106"/>
      <c r="P28" s="111">
        <f t="shared" si="0"/>
        <v>92.55610752225923</v>
      </c>
      <c r="Q28" s="111">
        <f t="shared" si="1"/>
        <v>90.78695543851525</v>
      </c>
      <c r="R28" s="111">
        <f t="shared" si="2"/>
        <v>99.87090398169195</v>
      </c>
      <c r="S28" s="106"/>
      <c r="T28" s="111">
        <f>Data_File!AD32</f>
        <v>92.55610752225924</v>
      </c>
      <c r="U28" s="111">
        <f>Data_File!R32</f>
        <v>91.79047779841297</v>
      </c>
      <c r="V28" s="111">
        <f>Data_File!U32</f>
        <v>100</v>
      </c>
      <c r="W28" s="106"/>
      <c r="X28" s="112">
        <v>0</v>
      </c>
      <c r="Y28" s="112">
        <f t="shared" si="9"/>
        <v>1.1952502583721407</v>
      </c>
      <c r="Z28" s="112">
        <f t="shared" si="10"/>
        <v>0.01666578194299165</v>
      </c>
      <c r="AA28" s="106"/>
      <c r="AB28" s="106"/>
    </row>
    <row r="29" spans="1:28" ht="12.75">
      <c r="A29" s="109">
        <v>9</v>
      </c>
      <c r="B29" s="106">
        <f>Data_File!E33</f>
        <v>1180</v>
      </c>
      <c r="C29" s="106">
        <f>Data_File!F33</f>
        <v>1416.333294108417</v>
      </c>
      <c r="D29" s="106"/>
      <c r="E29" s="106">
        <f t="shared" si="6"/>
        <v>0.995298841125132</v>
      </c>
      <c r="F29" s="106"/>
      <c r="G29" s="106"/>
      <c r="H29" s="111">
        <f>Data_File!AB33</f>
        <v>260.0177600222137</v>
      </c>
      <c r="I29" s="106">
        <f t="shared" si="7"/>
        <v>258.795375222062</v>
      </c>
      <c r="J29" s="111">
        <f t="shared" si="8"/>
        <v>1.2223848001517013</v>
      </c>
      <c r="K29" s="106"/>
      <c r="L29" s="111">
        <f t="shared" si="3"/>
        <v>2.9485775616657826</v>
      </c>
      <c r="M29" s="111">
        <f t="shared" si="4"/>
        <v>3.6445043600684275</v>
      </c>
      <c r="N29" s="111">
        <f t="shared" si="5"/>
        <v>0.07117491903537954</v>
      </c>
      <c r="O29" s="106"/>
      <c r="P29" s="111">
        <f t="shared" si="0"/>
        <v>89.60752996059344</v>
      </c>
      <c r="Q29" s="111">
        <f t="shared" si="1"/>
        <v>87.14245107844683</v>
      </c>
      <c r="R29" s="111">
        <f t="shared" si="2"/>
        <v>99.79972906265657</v>
      </c>
      <c r="S29" s="106"/>
      <c r="T29" s="111">
        <f>Data_File!AD33</f>
        <v>89.60752996059345</v>
      </c>
      <c r="U29" s="111">
        <f>Data_File!R33</f>
        <v>88.26186054364342</v>
      </c>
      <c r="V29" s="111">
        <f>Data_File!U33</f>
        <v>100</v>
      </c>
      <c r="W29" s="106"/>
      <c r="X29" s="112">
        <v>0</v>
      </c>
      <c r="Y29" s="112">
        <f t="shared" si="9"/>
        <v>1.6085397346200818</v>
      </c>
      <c r="Z29" s="112">
        <f t="shared" si="10"/>
        <v>0.040108448344417194</v>
      </c>
      <c r="AA29" s="106"/>
      <c r="AB29" s="106"/>
    </row>
    <row r="30" spans="1:28" ht="12.75">
      <c r="A30" s="109">
        <v>10</v>
      </c>
      <c r="B30" s="106">
        <f>Data_File!E34</f>
        <v>850</v>
      </c>
      <c r="C30" s="106">
        <f>Data_File!F34</f>
        <v>1001.4988766843426</v>
      </c>
      <c r="D30" s="106"/>
      <c r="E30" s="106">
        <f t="shared" si="6"/>
        <v>0.9911951685646273</v>
      </c>
      <c r="F30" s="106"/>
      <c r="G30" s="106"/>
      <c r="H30" s="111">
        <f>Data_File!AB34</f>
        <v>326.8307228265914</v>
      </c>
      <c r="I30" s="106">
        <f t="shared" si="7"/>
        <v>323.95303340420224</v>
      </c>
      <c r="J30" s="111">
        <f t="shared" si="8"/>
        <v>2.877689422389153</v>
      </c>
      <c r="K30" s="106"/>
      <c r="L30" s="111">
        <f t="shared" si="3"/>
        <v>3.706230434825556</v>
      </c>
      <c r="M30" s="111">
        <f t="shared" si="4"/>
        <v>4.56209173632234</v>
      </c>
      <c r="N30" s="111">
        <f t="shared" si="5"/>
        <v>0.16755714863445412</v>
      </c>
      <c r="O30" s="106"/>
      <c r="P30" s="111">
        <f t="shared" si="0"/>
        <v>85.90129952576788</v>
      </c>
      <c r="Q30" s="111">
        <f t="shared" si="1"/>
        <v>82.58035934212448</v>
      </c>
      <c r="R30" s="111">
        <f t="shared" si="2"/>
        <v>99.63217191402211</v>
      </c>
      <c r="S30" s="106"/>
      <c r="T30" s="111">
        <f>Data_File!AD34</f>
        <v>85.9012995257679</v>
      </c>
      <c r="U30" s="111">
        <f>Data_File!R34</f>
        <v>83.7793347965558</v>
      </c>
      <c r="V30" s="111">
        <f>Data_File!U34</f>
        <v>100</v>
      </c>
      <c r="W30" s="106"/>
      <c r="X30" s="112">
        <v>0</v>
      </c>
      <c r="Y30" s="112">
        <f t="shared" si="9"/>
        <v>2.0480793039094176</v>
      </c>
      <c r="Z30" s="112">
        <f t="shared" si="10"/>
        <v>0.13529750083415867</v>
      </c>
      <c r="AA30" s="106"/>
      <c r="AB30" s="106"/>
    </row>
    <row r="31" spans="1:28" ht="12.75">
      <c r="A31" s="109">
        <v>11</v>
      </c>
      <c r="B31" s="106">
        <f>Data_File!E35</f>
        <v>600</v>
      </c>
      <c r="C31" s="106">
        <f>Data_File!F35</f>
        <v>714.142842854285</v>
      </c>
      <c r="D31" s="106"/>
      <c r="E31" s="106">
        <f t="shared" si="6"/>
        <v>0.9808062565516596</v>
      </c>
      <c r="F31" s="106"/>
      <c r="G31" s="106"/>
      <c r="H31" s="111">
        <f>Data_File!AB35</f>
        <v>514.2507666113075</v>
      </c>
      <c r="I31" s="106">
        <f t="shared" si="7"/>
        <v>504.38036932885774</v>
      </c>
      <c r="J31" s="111">
        <f t="shared" si="8"/>
        <v>9.870397282449801</v>
      </c>
      <c r="K31" s="106"/>
      <c r="L31" s="111">
        <f t="shared" si="3"/>
        <v>5.831556549714098</v>
      </c>
      <c r="M31" s="111">
        <f t="shared" si="4"/>
        <v>7.102972584323217</v>
      </c>
      <c r="N31" s="111">
        <f t="shared" si="5"/>
        <v>0.5747165109859101</v>
      </c>
      <c r="O31" s="106"/>
      <c r="P31" s="111">
        <f t="shared" si="0"/>
        <v>80.06974297605379</v>
      </c>
      <c r="Q31" s="111">
        <f t="shared" si="1"/>
        <v>75.47738675780127</v>
      </c>
      <c r="R31" s="111">
        <f t="shared" si="2"/>
        <v>99.0574554030362</v>
      </c>
      <c r="S31" s="106"/>
      <c r="T31" s="111">
        <f>Data_File!AD35</f>
        <v>80.0697429760538</v>
      </c>
      <c r="U31" s="111">
        <f>Data_File!R35</f>
        <v>76.96690866115145</v>
      </c>
      <c r="V31" s="111">
        <f>Data_File!U35</f>
        <v>100</v>
      </c>
      <c r="W31" s="106"/>
      <c r="X31" s="112">
        <v>0</v>
      </c>
      <c r="Y31" s="112">
        <f t="shared" si="9"/>
        <v>3.745292150622379</v>
      </c>
      <c r="Z31" s="112">
        <f t="shared" si="10"/>
        <v>0.8883903172656505</v>
      </c>
      <c r="AA31" s="106"/>
      <c r="AB31" s="106"/>
    </row>
    <row r="32" spans="1:28" ht="12.75">
      <c r="A32" s="109">
        <v>12</v>
      </c>
      <c r="B32" s="106">
        <f>Data_File!E36</f>
        <v>425</v>
      </c>
      <c r="C32" s="106">
        <f>Data_File!F36</f>
        <v>504.9752469181039</v>
      </c>
      <c r="D32" s="106"/>
      <c r="E32" s="106">
        <f t="shared" si="6"/>
        <v>0.9590779276036385</v>
      </c>
      <c r="F32" s="106"/>
      <c r="G32" s="106"/>
      <c r="H32" s="111">
        <f>Data_File!AB36</f>
        <v>914.0968786775768</v>
      </c>
      <c r="I32" s="106">
        <f t="shared" si="7"/>
        <v>876.690140031045</v>
      </c>
      <c r="J32" s="111">
        <f t="shared" si="8"/>
        <v>37.406738646531835</v>
      </c>
      <c r="K32" s="106"/>
      <c r="L32" s="111">
        <f t="shared" si="3"/>
        <v>10.365774804871677</v>
      </c>
      <c r="M32" s="111">
        <f t="shared" si="4"/>
        <v>12.346051528280038</v>
      </c>
      <c r="N32" s="111">
        <f t="shared" si="5"/>
        <v>2.178055219775387</v>
      </c>
      <c r="O32" s="106"/>
      <c r="P32" s="111">
        <f t="shared" si="0"/>
        <v>69.70396817118211</v>
      </c>
      <c r="Q32" s="111">
        <f t="shared" si="1"/>
        <v>63.131335229521234</v>
      </c>
      <c r="R32" s="111">
        <f t="shared" si="2"/>
        <v>96.87940018326081</v>
      </c>
      <c r="S32" s="106"/>
      <c r="T32" s="111">
        <f>Data_File!AD36</f>
        <v>69.70396817118213</v>
      </c>
      <c r="U32" s="111">
        <f>Data_File!R36</f>
        <v>64.2790815465136</v>
      </c>
      <c r="V32" s="111">
        <f>Data_File!U36</f>
        <v>96.04868432330505</v>
      </c>
      <c r="W32" s="106"/>
      <c r="X32" s="112">
        <v>0</v>
      </c>
      <c r="Y32" s="112">
        <f t="shared" si="9"/>
        <v>3.1882508948218073</v>
      </c>
      <c r="Z32" s="112">
        <f t="shared" si="10"/>
        <v>0.7480354218724395</v>
      </c>
      <c r="AA32" s="106"/>
      <c r="AB32" s="106"/>
    </row>
    <row r="33" spans="1:28" ht="12.75">
      <c r="A33" s="109">
        <v>13</v>
      </c>
      <c r="B33" s="106">
        <f>Data_File!E37</f>
        <v>300</v>
      </c>
      <c r="C33" s="106">
        <f>Data_File!F37</f>
        <v>357.0714214271425</v>
      </c>
      <c r="D33" s="106"/>
      <c r="E33" s="106">
        <f t="shared" si="6"/>
        <v>0.9223661283423118</v>
      </c>
      <c r="F33" s="106"/>
      <c r="G33" s="106"/>
      <c r="H33" s="111">
        <f>Data_File!AB37</f>
        <v>1316.5008615770687</v>
      </c>
      <c r="I33" s="106">
        <f t="shared" si="7"/>
        <v>1214.2958026521585</v>
      </c>
      <c r="J33" s="111">
        <f t="shared" si="8"/>
        <v>102.20505892491019</v>
      </c>
      <c r="K33" s="106"/>
      <c r="L33" s="111">
        <f t="shared" si="3"/>
        <v>14.928999080786587</v>
      </c>
      <c r="M33" s="111">
        <f t="shared" si="4"/>
        <v>17.100407390901914</v>
      </c>
      <c r="N33" s="111">
        <f t="shared" si="5"/>
        <v>5.951020327710145</v>
      </c>
      <c r="O33" s="106"/>
      <c r="P33" s="111">
        <f t="shared" si="0"/>
        <v>54.77496909039553</v>
      </c>
      <c r="Q33" s="111">
        <f t="shared" si="1"/>
        <v>46.03092783861932</v>
      </c>
      <c r="R33" s="111">
        <f t="shared" si="2"/>
        <v>90.92837985555067</v>
      </c>
      <c r="S33" s="106"/>
      <c r="T33" s="111">
        <f>Data_File!AD37</f>
        <v>54.77496909039554</v>
      </c>
      <c r="U33" s="111">
        <f>Data_File!R37</f>
        <v>45.77</v>
      </c>
      <c r="V33" s="111">
        <f>Data_File!U37</f>
        <v>90.93168766606668</v>
      </c>
      <c r="W33" s="106"/>
      <c r="X33" s="112">
        <v>0</v>
      </c>
      <c r="Y33" s="112">
        <f t="shared" si="9"/>
        <v>0.324996743110582</v>
      </c>
      <c r="Z33" s="112">
        <f t="shared" si="10"/>
        <v>1.3232769389451766E-05</v>
      </c>
      <c r="AA33" s="106"/>
      <c r="AB33" s="106"/>
    </row>
    <row r="34" spans="1:28" ht="12.75">
      <c r="A34" s="109">
        <v>14</v>
      </c>
      <c r="B34" s="106">
        <f>Data_File!E38</f>
        <v>212</v>
      </c>
      <c r="C34" s="106">
        <f>Data_File!F38</f>
        <v>252.19040425836982</v>
      </c>
      <c r="D34" s="106"/>
      <c r="E34" s="106">
        <f t="shared" si="6"/>
        <v>0.8691763110078133</v>
      </c>
      <c r="F34" s="106"/>
      <c r="G34" s="106"/>
      <c r="H34" s="111">
        <f>Data_File!AB38</f>
        <v>1226.6078272723757</v>
      </c>
      <c r="I34" s="106">
        <f t="shared" si="7"/>
        <v>1066.1384663619126</v>
      </c>
      <c r="J34" s="111">
        <f t="shared" si="8"/>
        <v>160.46936091046314</v>
      </c>
      <c r="K34" s="106"/>
      <c r="L34" s="111">
        <f t="shared" si="3"/>
        <v>13.909620312666188</v>
      </c>
      <c r="M34" s="111">
        <f t="shared" si="4"/>
        <v>15.013971118141603</v>
      </c>
      <c r="N34" s="111">
        <f t="shared" si="5"/>
        <v>9.343533860240969</v>
      </c>
      <c r="O34" s="106"/>
      <c r="P34" s="111">
        <f t="shared" si="0"/>
        <v>40.86534877772934</v>
      </c>
      <c r="Q34" s="111">
        <f t="shared" si="1"/>
        <v>31.016956720477715</v>
      </c>
      <c r="R34" s="111">
        <f t="shared" si="2"/>
        <v>81.5848459953097</v>
      </c>
      <c r="S34" s="106"/>
      <c r="T34" s="111">
        <f>Data_File!AD38</f>
        <v>40.86534877772935</v>
      </c>
      <c r="U34" s="111">
        <f>Data_File!R38</f>
        <v>31.79132196522032</v>
      </c>
      <c r="V34" s="111">
        <f>Data_File!U38</f>
        <v>82.03479900574268</v>
      </c>
      <c r="W34" s="106"/>
      <c r="X34" s="112">
        <v>0</v>
      </c>
      <c r="Y34" s="112">
        <f t="shared" si="9"/>
        <v>5.93300248848152</v>
      </c>
      <c r="Z34" s="112">
        <f t="shared" si="10"/>
        <v>0.3008417365797353</v>
      </c>
      <c r="AA34" s="106"/>
      <c r="AB34" s="106"/>
    </row>
    <row r="35" spans="1:28" ht="12.75">
      <c r="A35" s="109">
        <v>15</v>
      </c>
      <c r="B35" s="106">
        <f>Data_File!E39</f>
        <v>150</v>
      </c>
      <c r="C35" s="106">
        <f>Data_File!F39</f>
        <v>178.3255450012701</v>
      </c>
      <c r="D35" s="106"/>
      <c r="E35" s="106">
        <f t="shared" si="6"/>
        <v>0.8016671119222857</v>
      </c>
      <c r="F35" s="106"/>
      <c r="G35" s="106"/>
      <c r="H35" s="111">
        <f>Data_File!AB39</f>
        <v>936.5011085847196</v>
      </c>
      <c r="I35" s="106">
        <f t="shared" si="7"/>
        <v>750.762139031131</v>
      </c>
      <c r="J35" s="111">
        <f t="shared" si="8"/>
        <v>185.73896955358862</v>
      </c>
      <c r="K35" s="106"/>
      <c r="L35" s="111">
        <f t="shared" si="3"/>
        <v>10.619836718123137</v>
      </c>
      <c r="M35" s="111">
        <f t="shared" si="4"/>
        <v>10.572661457823465</v>
      </c>
      <c r="N35" s="111">
        <f t="shared" si="5"/>
        <v>10.814889156058602</v>
      </c>
      <c r="O35" s="106"/>
      <c r="P35" s="111">
        <f t="shared" si="0"/>
        <v>30.245512059606202</v>
      </c>
      <c r="Q35" s="111">
        <f t="shared" si="1"/>
        <v>20.44429526265425</v>
      </c>
      <c r="R35" s="111">
        <f t="shared" si="2"/>
        <v>70.76995683925111</v>
      </c>
      <c r="S35" s="106"/>
      <c r="T35" s="111">
        <f>Data_File!AD39</f>
        <v>30.24551205960621</v>
      </c>
      <c r="U35" s="111">
        <f>Data_File!R39</f>
        <v>19.25122404187067</v>
      </c>
      <c r="V35" s="111">
        <f>Data_File!U39</f>
        <v>71.19225164995285</v>
      </c>
      <c r="W35" s="106"/>
      <c r="X35" s="112">
        <v>0</v>
      </c>
      <c r="Y35" s="112">
        <f t="shared" si="9"/>
        <v>38.407500338311195</v>
      </c>
      <c r="Z35" s="112">
        <f t="shared" si="10"/>
        <v>0.3518568672083165</v>
      </c>
      <c r="AA35" s="106"/>
      <c r="AB35" s="106"/>
    </row>
    <row r="36" spans="1:28" ht="12.75">
      <c r="A36" s="109">
        <v>16</v>
      </c>
      <c r="B36" s="106">
        <f>Data_File!E40</f>
        <v>106</v>
      </c>
      <c r="C36" s="106">
        <f>Data_File!F40</f>
        <v>126.09520212918491</v>
      </c>
      <c r="D36" s="106"/>
      <c r="E36" s="106">
        <f t="shared" si="6"/>
        <v>0.723860754451695</v>
      </c>
      <c r="F36" s="106"/>
      <c r="G36" s="106"/>
      <c r="H36" s="111">
        <f>Data_File!AB40</f>
        <v>878.5095130425608</v>
      </c>
      <c r="I36" s="106">
        <f t="shared" si="7"/>
        <v>635.9185589039793</v>
      </c>
      <c r="J36" s="111">
        <f t="shared" si="8"/>
        <v>242.59095413858154</v>
      </c>
      <c r="K36" s="106"/>
      <c r="L36" s="111">
        <f t="shared" si="3"/>
        <v>9.9622173410229</v>
      </c>
      <c r="M36" s="111">
        <f t="shared" si="4"/>
        <v>8.955368536185535</v>
      </c>
      <c r="N36" s="111">
        <f t="shared" si="5"/>
        <v>14.125168700875701</v>
      </c>
      <c r="O36" s="106"/>
      <c r="P36" s="111">
        <f t="shared" si="0"/>
        <v>20.283294718583303</v>
      </c>
      <c r="Q36" s="111">
        <f t="shared" si="1"/>
        <v>11.488926726468716</v>
      </c>
      <c r="R36" s="111">
        <f t="shared" si="2"/>
        <v>56.64478813837541</v>
      </c>
      <c r="S36" s="106"/>
      <c r="T36" s="111">
        <f>Data_File!AD40</f>
        <v>20.283294718583306</v>
      </c>
      <c r="U36" s="111">
        <f>Data_File!R40</f>
        <v>11.742360290393378</v>
      </c>
      <c r="V36" s="111">
        <f>Data_File!U40</f>
        <v>55.07</v>
      </c>
      <c r="W36" s="106"/>
      <c r="X36" s="112">
        <v>0</v>
      </c>
      <c r="Y36" s="112">
        <f t="shared" si="9"/>
        <v>4.6581927859014245</v>
      </c>
      <c r="Z36" s="112">
        <f t="shared" si="10"/>
        <v>8.177378817068194</v>
      </c>
      <c r="AA36" s="106"/>
      <c r="AB36" s="106"/>
    </row>
    <row r="37" spans="1:28" ht="12.75">
      <c r="A37" s="109">
        <v>17</v>
      </c>
      <c r="B37" s="106">
        <f>Data_File!E41</f>
        <v>75</v>
      </c>
      <c r="C37" s="106">
        <f>Data_File!F41</f>
        <v>89.16277250063504</v>
      </c>
      <c r="D37" s="106"/>
      <c r="E37" s="106">
        <f t="shared" si="6"/>
        <v>0.6409774949540399</v>
      </c>
      <c r="F37" s="106"/>
      <c r="G37" s="106"/>
      <c r="H37" s="111">
        <f>Data_File!AB41</f>
        <v>428.0156677359069</v>
      </c>
      <c r="I37" s="106">
        <f t="shared" si="7"/>
        <v>274.3484105064423</v>
      </c>
      <c r="J37" s="111">
        <f t="shared" si="8"/>
        <v>153.6672572294646</v>
      </c>
      <c r="K37" s="106"/>
      <c r="L37" s="111">
        <f t="shared" si="3"/>
        <v>4.853658434022639</v>
      </c>
      <c r="M37" s="111">
        <f t="shared" si="4"/>
        <v>3.8635310905792983</v>
      </c>
      <c r="N37" s="111">
        <f t="shared" si="5"/>
        <v>8.947472670094262</v>
      </c>
      <c r="O37" s="106"/>
      <c r="P37" s="111">
        <f t="shared" si="0"/>
        <v>15.429636284560663</v>
      </c>
      <c r="Q37" s="111">
        <f t="shared" si="1"/>
        <v>7.625395635889417</v>
      </c>
      <c r="R37" s="111">
        <f t="shared" si="2"/>
        <v>47.69731546828115</v>
      </c>
      <c r="S37" s="106"/>
      <c r="T37" s="111">
        <f>Data_File!AD41</f>
        <v>15.429636284560665</v>
      </c>
      <c r="U37" s="111">
        <f>Data_File!R41</f>
        <v>7.631267938544653</v>
      </c>
      <c r="V37" s="111">
        <f>Data_File!U41</f>
        <v>48.144338733179055</v>
      </c>
      <c r="W37" s="106"/>
      <c r="X37" s="112">
        <v>0</v>
      </c>
      <c r="Y37" s="112">
        <f t="shared" si="9"/>
        <v>0.005921387154483224</v>
      </c>
      <c r="Z37" s="112">
        <f t="shared" si="10"/>
        <v>0.8621241291426022</v>
      </c>
      <c r="AA37" s="106"/>
      <c r="AB37" s="106"/>
    </row>
    <row r="38" spans="1:28" ht="12.75">
      <c r="A38" s="109">
        <v>18</v>
      </c>
      <c r="B38" s="106">
        <f>Data_File!E42</f>
        <v>53</v>
      </c>
      <c r="C38" s="106">
        <f>Data_File!F42</f>
        <v>63.047601064592456</v>
      </c>
      <c r="D38" s="106"/>
      <c r="E38" s="106">
        <f t="shared" si="6"/>
        <v>0.5580269342013072</v>
      </c>
      <c r="F38" s="106"/>
      <c r="G38" s="106"/>
      <c r="H38" s="111">
        <f>Data_File!AB42</f>
        <v>333.9538807749874</v>
      </c>
      <c r="I38" s="106">
        <f t="shared" si="7"/>
        <v>186.3552602534951</v>
      </c>
      <c r="J38" s="111">
        <f t="shared" si="8"/>
        <v>147.5986205214923</v>
      </c>
      <c r="K38" s="106"/>
      <c r="L38" s="111">
        <f t="shared" si="3"/>
        <v>3.787006392948753</v>
      </c>
      <c r="M38" s="111">
        <f t="shared" si="4"/>
        <v>2.624361265856388</v>
      </c>
      <c r="N38" s="111">
        <f t="shared" si="5"/>
        <v>8.594118532926116</v>
      </c>
      <c r="O38" s="106"/>
      <c r="P38" s="111">
        <f t="shared" si="0"/>
        <v>11.64262989161191</v>
      </c>
      <c r="Q38" s="111">
        <f t="shared" si="1"/>
        <v>5.001034370033029</v>
      </c>
      <c r="R38" s="111">
        <f t="shared" si="2"/>
        <v>39.10319693535503</v>
      </c>
      <c r="S38" s="106"/>
      <c r="T38" s="111">
        <f>Data_File!AD42</f>
        <v>11.64262989161191</v>
      </c>
      <c r="U38" s="111">
        <f>Data_File!R42</f>
        <v>5.0650008441668035</v>
      </c>
      <c r="V38" s="111">
        <f>Data_File!U42</f>
        <v>38.91317390931688</v>
      </c>
      <c r="W38" s="106"/>
      <c r="X38" s="112">
        <v>0</v>
      </c>
      <c r="Y38" s="112">
        <f t="shared" si="9"/>
        <v>1.594945257244649</v>
      </c>
      <c r="Z38" s="112">
        <f t="shared" si="10"/>
        <v>0.23846198213567604</v>
      </c>
      <c r="AA38" s="106"/>
      <c r="AB38" s="106"/>
    </row>
    <row r="39" spans="1:28" ht="12.75">
      <c r="A39" s="109">
        <v>19</v>
      </c>
      <c r="B39" s="106">
        <f>Data_File!E43</f>
        <v>44</v>
      </c>
      <c r="C39" s="106">
        <f>Data_File!F43</f>
        <v>48.29078587059855</v>
      </c>
      <c r="D39" s="106"/>
      <c r="E39" s="106">
        <f t="shared" si="6"/>
        <v>0.4967218460023551</v>
      </c>
      <c r="F39" s="106"/>
      <c r="G39" s="106"/>
      <c r="H39" s="111">
        <f>Data_File!AB43</f>
        <v>122.39214002723948</v>
      </c>
      <c r="I39" s="106">
        <f t="shared" si="7"/>
        <v>60.79484973050913</v>
      </c>
      <c r="J39" s="111">
        <f t="shared" si="8"/>
        <v>61.59729029673035</v>
      </c>
      <c r="K39" s="106"/>
      <c r="L39" s="111">
        <f t="shared" si="3"/>
        <v>1.387915647676313</v>
      </c>
      <c r="M39" s="111">
        <f t="shared" si="4"/>
        <v>0.8561478145520474</v>
      </c>
      <c r="N39" s="111">
        <f t="shared" si="5"/>
        <v>3.5865810415218378</v>
      </c>
      <c r="O39" s="106"/>
      <c r="P39" s="111">
        <f t="shared" si="0"/>
        <v>10.254714243935597</v>
      </c>
      <c r="Q39" s="111">
        <f t="shared" si="1"/>
        <v>4.144886555480982</v>
      </c>
      <c r="R39" s="111">
        <f t="shared" si="2"/>
        <v>35.51661589383319</v>
      </c>
      <c r="S39" s="106"/>
      <c r="T39" s="111">
        <f>Data_File!AD43</f>
        <v>10.254714243935597</v>
      </c>
      <c r="U39" s="111">
        <f>Data_File!R43</f>
        <v>4.136417356069558</v>
      </c>
      <c r="V39" s="111">
        <f>Data_File!U43</f>
        <v>35.913259621153685</v>
      </c>
      <c r="W39" s="106"/>
      <c r="X39" s="112">
        <v>0</v>
      </c>
      <c r="Y39" s="112">
        <f t="shared" si="9"/>
        <v>0.041921422783777695</v>
      </c>
      <c r="Z39" s="112">
        <f t="shared" si="10"/>
        <v>1.219808150648347</v>
      </c>
      <c r="AA39" s="106"/>
      <c r="AB39" s="106"/>
    </row>
    <row r="40" spans="1:28" ht="12.75">
      <c r="A40" s="109">
        <v>20</v>
      </c>
      <c r="B40" s="106">
        <f>Data_File!E44</f>
        <v>37</v>
      </c>
      <c r="C40" s="106">
        <f>Data_File!F44</f>
        <v>40.34848200366403</v>
      </c>
      <c r="D40" s="106"/>
      <c r="E40" s="106">
        <f t="shared" si="6"/>
        <v>0.4574105723378439</v>
      </c>
      <c r="F40" s="106"/>
      <c r="G40" s="106"/>
      <c r="H40" s="111">
        <f>Data_File!AB44</f>
        <v>87.59027203141635</v>
      </c>
      <c r="I40" s="106">
        <f t="shared" si="7"/>
        <v>40.06471646111759</v>
      </c>
      <c r="J40" s="111">
        <f t="shared" si="8"/>
        <v>47.525555570298756</v>
      </c>
      <c r="K40" s="106"/>
      <c r="L40" s="111">
        <f t="shared" si="3"/>
        <v>0.9932656550459175</v>
      </c>
      <c r="M40" s="111">
        <f t="shared" si="4"/>
        <v>0.5642142318121328</v>
      </c>
      <c r="N40" s="111">
        <f t="shared" si="5"/>
        <v>2.7672362822309733</v>
      </c>
      <c r="O40" s="106"/>
      <c r="P40" s="111">
        <f>L41</f>
        <v>9.26144858888968</v>
      </c>
      <c r="Q40" s="111">
        <f>M41</f>
        <v>3.5806723236688494</v>
      </c>
      <c r="R40" s="111">
        <f>N41</f>
        <v>32.749379611602215</v>
      </c>
      <c r="S40" s="106"/>
      <c r="T40" s="111">
        <f>Data_File!AD44</f>
        <v>9.26144858888968</v>
      </c>
      <c r="U40" s="111">
        <f>Data_File!R44</f>
        <v>3.553942258990375</v>
      </c>
      <c r="V40" s="111">
        <f>Data_File!U44</f>
        <v>32.93048770035142</v>
      </c>
      <c r="W40" s="106"/>
      <c r="X40" s="112">
        <v>0</v>
      </c>
      <c r="Y40" s="112">
        <f t="shared" si="9"/>
        <v>0.5656910193946303</v>
      </c>
      <c r="Z40" s="112">
        <f t="shared" si="10"/>
        <v>0.30246795466982807</v>
      </c>
      <c r="AA40" s="106"/>
      <c r="AB40" s="106"/>
    </row>
    <row r="41" spans="1:35" ht="12.75">
      <c r="A41" s="109">
        <v>21</v>
      </c>
      <c r="B41" s="106">
        <v>0</v>
      </c>
      <c r="C41" s="106">
        <f>Data_File!F45</f>
        <v>18.5</v>
      </c>
      <c r="D41" s="106"/>
      <c r="E41" s="106">
        <f t="shared" si="6"/>
        <v>0.3113244573214114</v>
      </c>
      <c r="F41" s="106"/>
      <c r="G41" s="106"/>
      <c r="H41" s="111">
        <f>Data_File!AB45</f>
        <v>816.7128272126985</v>
      </c>
      <c r="I41" s="106">
        <f t="shared" si="7"/>
        <v>254.26267771942898</v>
      </c>
      <c r="J41" s="111">
        <f t="shared" si="8"/>
        <v>562.4501494932695</v>
      </c>
      <c r="K41" s="106"/>
      <c r="L41" s="111">
        <f t="shared" si="3"/>
        <v>9.26144858888968</v>
      </c>
      <c r="M41" s="111">
        <f t="shared" si="4"/>
        <v>3.5806723236688494</v>
      </c>
      <c r="N41" s="111">
        <f t="shared" si="5"/>
        <v>32.749379611602215</v>
      </c>
      <c r="O41" s="106"/>
      <c r="P41" s="106"/>
      <c r="Q41" s="106"/>
      <c r="R41" s="106"/>
      <c r="S41" s="106"/>
      <c r="T41" s="111"/>
      <c r="U41" s="111"/>
      <c r="V41" s="111"/>
      <c r="W41" s="106"/>
      <c r="X41" s="112"/>
      <c r="Y41" s="112"/>
      <c r="Z41" s="112"/>
      <c r="AA41" s="106"/>
      <c r="AB41" s="106"/>
      <c r="AG41" s="5"/>
      <c r="AI41" s="5"/>
    </row>
    <row r="42" spans="1:29" ht="12.7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12"/>
      <c r="Y42" s="112"/>
      <c r="Z42" s="112"/>
      <c r="AA42" s="106"/>
      <c r="AB42" s="113" t="s">
        <v>121</v>
      </c>
      <c r="AC42" s="3"/>
    </row>
    <row r="43" spans="1:35" ht="12.75">
      <c r="A43" s="106"/>
      <c r="B43" s="106"/>
      <c r="C43" s="106"/>
      <c r="D43" s="106"/>
      <c r="E43" s="106"/>
      <c r="F43" s="106"/>
      <c r="G43" s="114" t="s">
        <v>13</v>
      </c>
      <c r="H43" s="111">
        <f>SUM(H22:H41)</f>
        <v>8818.41344120241</v>
      </c>
      <c r="I43" s="111">
        <f>SUM(I22:I41)</f>
        <v>7100.975870891891</v>
      </c>
      <c r="J43" s="111">
        <f>SUM(J22:J41)</f>
        <v>1717.4375703105188</v>
      </c>
      <c r="K43" s="106"/>
      <c r="L43" s="111">
        <f>SUM(L22:L41)</f>
        <v>99.99999999999999</v>
      </c>
      <c r="M43" s="111">
        <f>SUM(M22:M41)</f>
        <v>99.99999999999999</v>
      </c>
      <c r="N43" s="111">
        <f>SUM(N22:N41)</f>
        <v>100</v>
      </c>
      <c r="O43" s="106"/>
      <c r="P43" s="106"/>
      <c r="Q43" s="106"/>
      <c r="R43" s="106"/>
      <c r="S43" s="106"/>
      <c r="T43" s="111"/>
      <c r="U43" s="111"/>
      <c r="V43" s="111"/>
      <c r="W43" s="106"/>
      <c r="X43" s="112"/>
      <c r="Y43" s="112">
        <f>AVERAGE(Y22:Y40)/Y20</f>
        <v>3.4156357225505745</v>
      </c>
      <c r="Z43" s="112">
        <f>AVERAGE(Z22:Z40)/Z20</f>
        <v>0.699929565153643</v>
      </c>
      <c r="AA43" s="106"/>
      <c r="AB43" s="115">
        <f>(Y43*Y20+Z43*Z20)/(Y20+Z20)</f>
        <v>2.057782643852109</v>
      </c>
      <c r="AC43" s="26"/>
      <c r="AG43" s="5"/>
      <c r="AH43" s="5"/>
      <c r="AI43" s="5"/>
    </row>
    <row r="44" spans="1:28" ht="12.7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ht="12.7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sheetData>
  <sheetProtection password="CD50" sheet="1" objects="1" scenarios="1" insertColumns="0" insertRows="0"/>
  <mergeCells count="5">
    <mergeCell ref="H17:J17"/>
    <mergeCell ref="T17:V17"/>
    <mergeCell ref="X17:Z17"/>
    <mergeCell ref="L17:N17"/>
    <mergeCell ref="P17:R17"/>
  </mergeCells>
  <printOptions gridLines="1"/>
  <pageMargins left="0" right="0"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Guzman, Levi</cp:lastModifiedBy>
  <cp:lastPrinted>2006-09-20T15:36:16Z</cp:lastPrinted>
  <dcterms:created xsi:type="dcterms:W3CDTF">1999-02-02T17:19:59Z</dcterms:created>
  <dcterms:modified xsi:type="dcterms:W3CDTF">2011-07-22T16:32:24Z</dcterms:modified>
  <cp:category/>
  <cp:version/>
  <cp:contentType/>
  <cp:contentStatus/>
</cp:coreProperties>
</file>