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210" windowHeight="5445" activeTab="3"/>
  </bookViews>
  <sheets>
    <sheet name="About ..." sheetId="1" r:id="rId1"/>
    <sheet name="Control_Panel" sheetId="2" r:id="rId2"/>
    <sheet name="Data_File" sheetId="3" r:id="rId3"/>
    <sheet name="Reports" sheetId="4" r:id="rId4"/>
    <sheet name="C" sheetId="5" r:id="rId5"/>
    <sheet name="Sample 1" sheetId="6" r:id="rId6"/>
    <sheet name="Sample 2" sheetId="7" r:id="rId7"/>
  </sheets>
  <externalReferences>
    <externalReference r:id="rId10"/>
    <externalReference r:id="rId11"/>
  </externalReferences>
  <definedNames>
    <definedName name="Actual" localSheetId="0">'[2]Data_File'!#REF!</definedName>
    <definedName name="Actual" localSheetId="1">'Control_Panel'!#REF!</definedName>
    <definedName name="Actual" localSheetId="5">'Sample 1'!#REF!</definedName>
    <definedName name="Actual">'Data_File'!#REF!</definedName>
    <definedName name="BIJ" localSheetId="0">'[1]J&amp;T'!$B$35:$Z$59</definedName>
    <definedName name="BIJ">#REF!</definedName>
    <definedName name="Delta" localSheetId="0">'[2]Data_File'!#REF!</definedName>
    <definedName name="Delta" localSheetId="1">'Control_Panel'!#REF!</definedName>
    <definedName name="Delta" localSheetId="5">'Sample 1'!#REF!</definedName>
    <definedName name="Delta">'Data_File'!#REF!</definedName>
    <definedName name="Guess" localSheetId="0">'[2]Data_File'!#REF!</definedName>
    <definedName name="Guess" localSheetId="1">'Control_Panel'!#REF!</definedName>
    <definedName name="Guess" localSheetId="5">'Sample 1'!#REF!</definedName>
    <definedName name="Guess">'Data_File'!#REF!</definedName>
    <definedName name="I" localSheetId="0">'[1]J&amp;T'!$A$66:$A$90</definedName>
    <definedName name="I">#REF!</definedName>
    <definedName name="J" localSheetId="0">'[1]J&amp;T'!$B$65:$Z$65</definedName>
    <definedName name="J">#REF!</definedName>
    <definedName name="_xlnm.Print_Area" localSheetId="0">'About ...'!$A$1:$M$107</definedName>
    <definedName name="_xlnm.Print_Area" localSheetId="1">'Control_Panel'!$B$2:$P$30</definedName>
    <definedName name="_xlnm.Print_Area" localSheetId="2">'Data_File'!$B$2:$P$41</definedName>
    <definedName name="_xlnm.Print_Area" localSheetId="3">'Reports'!$B$1:$J$99</definedName>
    <definedName name="SIE" localSheetId="0">'[1]J&amp;T'!$B$95:$Z$95</definedName>
    <definedName name="SIE">#REF!</definedName>
    <definedName name="solver_adj" localSheetId="1" hidden="1">'Control_Panel'!$C$20:$F$20</definedName>
    <definedName name="solver_adj" localSheetId="2" hidden="1">'Data_File'!$C$45:$F$45</definedName>
    <definedName name="solver_adj" localSheetId="3" hidden="1">'Reports'!#REF!</definedName>
    <definedName name="solver_adj" localSheetId="5" hidden="1">'Sample 1'!#REF!</definedName>
    <definedName name="solver_cvg" localSheetId="1" hidden="1">0.001</definedName>
    <definedName name="solver_cvg" localSheetId="2" hidden="1">0.001</definedName>
    <definedName name="solver_cvg" localSheetId="5" hidden="1">0.001</definedName>
    <definedName name="solver_drv" localSheetId="1" hidden="1">2</definedName>
    <definedName name="solver_drv" localSheetId="2" hidden="1">1</definedName>
    <definedName name="solver_drv" localSheetId="3" hidden="1">1</definedName>
    <definedName name="solver_drv" localSheetId="5" hidden="1">1</definedName>
    <definedName name="solver_est" localSheetId="1" hidden="1">2</definedName>
    <definedName name="solver_est" localSheetId="2" hidden="1">1</definedName>
    <definedName name="solver_est" localSheetId="3" hidden="1">1</definedName>
    <definedName name="solver_est" localSheetId="5" hidden="1">1</definedName>
    <definedName name="solver_itr" localSheetId="1" hidden="1">100</definedName>
    <definedName name="solver_itr" localSheetId="2" hidden="1">100</definedName>
    <definedName name="solver_itr" localSheetId="3" hidden="1">100</definedName>
    <definedName name="solver_itr" localSheetId="5" hidden="1">100</definedName>
    <definedName name="solver_lhs1" localSheetId="1" hidden="1">'Control_Panel'!$F$20</definedName>
    <definedName name="solver_lhs1" localSheetId="2" hidden="1">'Data_File'!$C$45</definedName>
    <definedName name="solver_lhs1" localSheetId="5" hidden="1">'Sample 1'!#REF!</definedName>
    <definedName name="solver_lin" localSheetId="1" hidden="1">2</definedName>
    <definedName name="solver_lin" localSheetId="2" hidden="1">2</definedName>
    <definedName name="solver_lin" localSheetId="3" hidden="1">0</definedName>
    <definedName name="solver_lin" localSheetId="5" hidden="1">2</definedName>
    <definedName name="solver_neg" localSheetId="1" hidden="1">1</definedName>
    <definedName name="solver_neg" localSheetId="2" hidden="1">1</definedName>
    <definedName name="solver_neg" localSheetId="5" hidden="1">1</definedName>
    <definedName name="solver_num" localSheetId="1" hidden="1">1</definedName>
    <definedName name="solver_num" localSheetId="2" hidden="1">0</definedName>
    <definedName name="solver_num" localSheetId="3" hidden="1">0</definedName>
    <definedName name="solver_num" localSheetId="5" hidden="1">0</definedName>
    <definedName name="solver_nwt" localSheetId="1" hidden="1">2</definedName>
    <definedName name="solver_nwt" localSheetId="2" hidden="1">1</definedName>
    <definedName name="solver_nwt" localSheetId="3" hidden="1">1</definedName>
    <definedName name="solver_nwt" localSheetId="5" hidden="1">1</definedName>
    <definedName name="solver_opt" localSheetId="1" hidden="1">'Control_Panel'!$E$22</definedName>
    <definedName name="solver_opt" localSheetId="2" hidden="1">'Data_File'!$E$47</definedName>
    <definedName name="solver_opt" localSheetId="3" hidden="1">'Reports'!#REF!</definedName>
    <definedName name="solver_opt" localSheetId="5" hidden="1">'Sample 1'!#REF!</definedName>
    <definedName name="solver_pre" localSheetId="1" hidden="1">0.000001</definedName>
    <definedName name="solver_pre" localSheetId="2" hidden="1">0.000001</definedName>
    <definedName name="solver_pre" localSheetId="3" hidden="1">0.000001</definedName>
    <definedName name="solver_pre" localSheetId="5" hidden="1">0.000001</definedName>
    <definedName name="solver_rel1" localSheetId="1" hidden="1">1</definedName>
    <definedName name="solver_rel1" localSheetId="2" hidden="1">3</definedName>
    <definedName name="solver_rel1" localSheetId="5" hidden="1">3</definedName>
    <definedName name="solver_rhs1" localSheetId="1" hidden="1">'Control_Panel'!$H$20</definedName>
    <definedName name="solver_rhs1" localSheetId="2" hidden="1">0</definedName>
    <definedName name="solver_rhs1" localSheetId="5" hidden="1">0</definedName>
    <definedName name="solver_scl" localSheetId="1" hidden="1">1</definedName>
    <definedName name="solver_scl" localSheetId="2" hidden="1">2</definedName>
    <definedName name="solver_scl" localSheetId="3" hidden="1">0</definedName>
    <definedName name="solver_scl" localSheetId="5" hidden="1">2</definedName>
    <definedName name="solver_sho" localSheetId="1" hidden="1">2</definedName>
    <definedName name="solver_sho" localSheetId="2" hidden="1">2</definedName>
    <definedName name="solver_sho" localSheetId="3" hidden="1">0</definedName>
    <definedName name="solver_sho" localSheetId="5" hidden="1">2</definedName>
    <definedName name="solver_tim" localSheetId="1" hidden="1">100</definedName>
    <definedName name="solver_tim" localSheetId="2" hidden="1">100</definedName>
    <definedName name="solver_tim" localSheetId="3" hidden="1">100</definedName>
    <definedName name="solver_tim" localSheetId="5" hidden="1">100</definedName>
    <definedName name="solver_tol" localSheetId="1" hidden="1">0.05</definedName>
    <definedName name="solver_tol" localSheetId="2" hidden="1">0.05</definedName>
    <definedName name="solver_tol" localSheetId="3" hidden="1">0.05</definedName>
    <definedName name="solver_tol" localSheetId="5" hidden="1">0.05</definedName>
    <definedName name="solver_typ" localSheetId="1" hidden="1">2</definedName>
    <definedName name="solver_typ" localSheetId="2" hidden="1">2</definedName>
    <definedName name="solver_typ" localSheetId="3" hidden="1">2</definedName>
    <definedName name="solver_typ" localSheetId="5" hidden="1">2</definedName>
    <definedName name="solver_val" localSheetId="1" hidden="1">0</definedName>
    <definedName name="solver_val" localSheetId="2" hidden="1">0</definedName>
    <definedName name="solver_val" localSheetId="3" hidden="1">0</definedName>
    <definedName name="solver_val" localSheetId="5" hidden="1">0</definedName>
    <definedName name="TIJ" localSheetId="0">'[1]J&amp;T'!$B$66:$Z$90</definedName>
    <definedName name="TIJ">#REF!</definedName>
    <definedName name="TIJINV" localSheetId="0">'[1]J&amp;T'!$B$100:$U$119</definedName>
    <definedName name="TIJINV">#REF!</definedName>
  </definedNames>
  <calcPr fullCalcOnLoad="1"/>
</workbook>
</file>

<file path=xl/comments2.xml><?xml version="1.0" encoding="utf-8"?>
<comments xmlns="http://schemas.openxmlformats.org/spreadsheetml/2006/main">
  <authors>
    <author>Jaime E. Sep?lveda J.</author>
  </authors>
  <commentList>
    <comment ref="E10" authorId="0">
      <text>
        <r>
          <rPr>
            <b/>
            <sz val="8"/>
            <rFont val="Tahoma"/>
            <family val="2"/>
          </rPr>
          <t>Relative Weighting Factor</t>
        </r>
        <r>
          <rPr>
            <sz val="8"/>
            <rFont val="Tahoma"/>
            <family val="2"/>
          </rPr>
          <t xml:space="preserve"> of this sample with respect to the measurements associated with the other 2 streams.
</t>
        </r>
        <r>
          <rPr>
            <b/>
            <sz val="8"/>
            <rFont val="Tahoma"/>
            <family val="2"/>
          </rPr>
          <t>Default Value : 1</t>
        </r>
      </text>
    </comment>
    <comment ref="E11" authorId="0">
      <text>
        <r>
          <rPr>
            <b/>
            <sz val="8"/>
            <rFont val="Tahoma"/>
            <family val="2"/>
          </rPr>
          <t>Relative Weighting Factor</t>
        </r>
        <r>
          <rPr>
            <sz val="8"/>
            <rFont val="Tahoma"/>
            <family val="2"/>
          </rPr>
          <t xml:space="preserve"> of this sample with respect to the measurements associated with the other 2 streams.
</t>
        </r>
        <r>
          <rPr>
            <b/>
            <sz val="8"/>
            <rFont val="Tahoma"/>
            <family val="2"/>
          </rPr>
          <t>Default Value : 1</t>
        </r>
      </text>
    </comment>
    <comment ref="E13" authorId="0">
      <text>
        <r>
          <rPr>
            <b/>
            <sz val="8"/>
            <rFont val="Tahoma"/>
            <family val="2"/>
          </rPr>
          <t>Relative Weighting Factor</t>
        </r>
        <r>
          <rPr>
            <sz val="8"/>
            <rFont val="Tahoma"/>
            <family val="2"/>
          </rPr>
          <t xml:space="preserve"> of the size distribution analyses with respect to the % solids analyses.
</t>
        </r>
        <r>
          <rPr>
            <b/>
            <sz val="8"/>
            <rFont val="Tahoma"/>
            <family val="2"/>
          </rPr>
          <t>Default Value : 1</t>
        </r>
      </text>
    </comment>
    <comment ref="E14" authorId="0">
      <text>
        <r>
          <rPr>
            <b/>
            <sz val="8"/>
            <rFont val="Tahoma"/>
            <family val="2"/>
          </rPr>
          <t>Relative Weighting Factor</t>
        </r>
        <r>
          <rPr>
            <sz val="8"/>
            <rFont val="Tahoma"/>
            <family val="2"/>
          </rPr>
          <t xml:space="preserve"> of the size distribution analyses with respect to the % solids analyses.
</t>
        </r>
        <r>
          <rPr>
            <b/>
            <sz val="8"/>
            <rFont val="Tahoma"/>
            <family val="2"/>
          </rPr>
          <t>Default Value : 1</t>
        </r>
      </text>
    </comment>
    <comment ref="D20" authorId="0">
      <text>
        <r>
          <rPr>
            <sz val="8"/>
            <rFont val="Tahoma"/>
            <family val="2"/>
          </rPr>
          <t xml:space="preserve">Fractional short-circuit of slurry to the cyclone overflow.
</t>
        </r>
        <r>
          <rPr>
            <b/>
            <sz val="8"/>
            <rFont val="Tahoma"/>
            <family val="2"/>
          </rPr>
          <t>Default Value : 0</t>
        </r>
      </text>
    </comment>
    <comment ref="E22" authorId="0">
      <text>
        <r>
          <rPr>
            <sz val="8"/>
            <rFont val="Tahoma"/>
            <family val="2"/>
          </rPr>
          <t xml:space="preserve">To minimize this value, use </t>
        </r>
        <r>
          <rPr>
            <b/>
            <sz val="8"/>
            <rFont val="Tahoma"/>
            <family val="2"/>
          </rPr>
          <t>Tools / Solver / Min</t>
        </r>
        <r>
          <rPr>
            <sz val="8"/>
            <rFont val="Tahoma"/>
            <family val="2"/>
          </rPr>
          <t xml:space="preserve">, by changing any combination of </t>
        </r>
        <r>
          <rPr>
            <sz val="8"/>
            <color indexed="10"/>
            <rFont val="Tahoma"/>
            <family val="2"/>
          </rPr>
          <t>Cells C20:F20</t>
        </r>
        <r>
          <rPr>
            <sz val="8"/>
            <rFont val="Tahoma"/>
            <family val="2"/>
          </rPr>
          <t>.</t>
        </r>
      </text>
    </comment>
    <comment ref="E25"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6"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7"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8"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9" authorId="0">
      <text>
        <r>
          <rPr>
            <sz val="8"/>
            <rFont val="Tahoma"/>
            <family val="2"/>
          </rPr>
          <t xml:space="preserve">See </t>
        </r>
        <r>
          <rPr>
            <b/>
            <sz val="8"/>
            <rFont val="Tahoma"/>
            <family val="2"/>
          </rPr>
          <t>Cyclosim_Single</t>
        </r>
        <r>
          <rPr>
            <sz val="8"/>
            <rFont val="Tahoma"/>
            <family val="2"/>
          </rPr>
          <t xml:space="preserve"> spreadsheet for further reference.</t>
        </r>
      </text>
    </comment>
  </commentList>
</comments>
</file>

<file path=xl/comments3.xml><?xml version="1.0" encoding="utf-8"?>
<comments xmlns="http://schemas.openxmlformats.org/spreadsheetml/2006/main">
  <authors>
    <author>Jaime E. Sep?lveda J.</author>
    <author>jsepulveda</author>
  </authors>
  <commentList>
    <comment ref="N10" authorId="0">
      <text>
        <r>
          <rPr>
            <sz val="8"/>
            <rFont val="Tahoma"/>
            <family val="2"/>
          </rPr>
          <t xml:space="preserve">May be set to a known value using </t>
        </r>
        <r>
          <rPr>
            <b/>
            <sz val="8"/>
            <rFont val="Tahoma"/>
            <family val="2"/>
          </rPr>
          <t>Tools / Goal Seek</t>
        </r>
        <r>
          <rPr>
            <sz val="8"/>
            <rFont val="Tahoma"/>
            <family val="2"/>
          </rPr>
          <t xml:space="preserve">, by changing </t>
        </r>
        <r>
          <rPr>
            <sz val="8"/>
            <color indexed="10"/>
            <rFont val="Tahoma"/>
            <family val="2"/>
          </rPr>
          <t>Cell N9</t>
        </r>
        <r>
          <rPr>
            <sz val="8"/>
            <rFont val="Tahoma"/>
            <family val="2"/>
          </rPr>
          <t>.</t>
        </r>
      </text>
    </comment>
    <comment ref="E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I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L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O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List>
</comments>
</file>

<file path=xl/comments6.xml><?xml version="1.0" encoding="utf-8"?>
<comments xmlns="http://schemas.openxmlformats.org/spreadsheetml/2006/main">
  <authors>
    <author>Jaime E. Sep?lveda J.</author>
    <author>jsepulveda</author>
  </authors>
  <commentList>
    <comment ref="N10" authorId="0">
      <text>
        <r>
          <rPr>
            <sz val="8"/>
            <rFont val="Tahoma"/>
            <family val="2"/>
          </rPr>
          <t xml:space="preserve">May be set to a known value using </t>
        </r>
        <r>
          <rPr>
            <b/>
            <sz val="8"/>
            <rFont val="Tahoma"/>
            <family val="2"/>
          </rPr>
          <t>Tools / Goal Seek</t>
        </r>
        <r>
          <rPr>
            <sz val="8"/>
            <rFont val="Tahoma"/>
            <family val="2"/>
          </rPr>
          <t xml:space="preserve">, by changing </t>
        </r>
        <r>
          <rPr>
            <sz val="8"/>
            <color indexed="10"/>
            <rFont val="Tahoma"/>
            <family val="2"/>
          </rPr>
          <t>Cell N9</t>
        </r>
        <r>
          <rPr>
            <sz val="8"/>
            <rFont val="Tahoma"/>
            <family val="2"/>
          </rPr>
          <t>.</t>
        </r>
      </text>
    </comment>
    <comment ref="E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I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L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O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List>
</comments>
</file>

<file path=xl/comments7.xml><?xml version="1.0" encoding="utf-8"?>
<comments xmlns="http://schemas.openxmlformats.org/spreadsheetml/2006/main">
  <authors>
    <author>Jaime E. Sep?lveda J.</author>
    <author>jsepulveda</author>
  </authors>
  <commentList>
    <comment ref="M9" authorId="0">
      <text>
        <r>
          <rPr>
            <sz val="8"/>
            <rFont val="Tahoma"/>
            <family val="2"/>
          </rPr>
          <t xml:space="preserve">May be set to a known value using </t>
        </r>
        <r>
          <rPr>
            <b/>
            <sz val="8"/>
            <rFont val="Tahoma"/>
            <family val="2"/>
          </rPr>
          <t>Tools / Goal Seek</t>
        </r>
        <r>
          <rPr>
            <sz val="8"/>
            <rFont val="Tahoma"/>
            <family val="2"/>
          </rPr>
          <t xml:space="preserve">, by changing </t>
        </r>
        <r>
          <rPr>
            <sz val="8"/>
            <color indexed="10"/>
            <rFont val="Tahoma"/>
            <family val="2"/>
          </rPr>
          <t>Cell N9</t>
        </r>
        <r>
          <rPr>
            <sz val="8"/>
            <rFont val="Tahoma"/>
            <family val="2"/>
          </rPr>
          <t>.</t>
        </r>
      </text>
    </comment>
    <comment ref="D15"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H15"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K15"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N15"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List>
</comments>
</file>

<file path=xl/sharedStrings.xml><?xml version="1.0" encoding="utf-8"?>
<sst xmlns="http://schemas.openxmlformats.org/spreadsheetml/2006/main" count="360" uniqueCount="129">
  <si>
    <t>Mesh</t>
  </si>
  <si>
    <t>Opening</t>
  </si>
  <si>
    <t>i</t>
  </si>
  <si>
    <t>Mid-Size</t>
  </si>
  <si>
    <t>Feed</t>
  </si>
  <si>
    <t>Cyclone</t>
  </si>
  <si>
    <t>U'flow</t>
  </si>
  <si>
    <t>O'flow</t>
  </si>
  <si>
    <t>Total</t>
  </si>
  <si>
    <t>Slurry, tons</t>
  </si>
  <si>
    <t>Solids, tons</t>
  </si>
  <si>
    <t>Slurry, m3/hr</t>
  </si>
  <si>
    <t>Water, m3/hr</t>
  </si>
  <si>
    <t>% Solids (by volume)</t>
  </si>
  <si>
    <t>% Solids (by weight)</t>
  </si>
  <si>
    <t>Solids Density, ton/m3</t>
  </si>
  <si>
    <t>Slurry Density, ton/m3</t>
  </si>
  <si>
    <t>Classifier Constants</t>
  </si>
  <si>
    <t>a1</t>
  </si>
  <si>
    <t>a2</t>
  </si>
  <si>
    <t>a3</t>
  </si>
  <si>
    <t>a4</t>
  </si>
  <si>
    <t>l</t>
  </si>
  <si>
    <t>DC</t>
  </si>
  <si>
    <t>h</t>
  </si>
  <si>
    <t>DI</t>
  </si>
  <si>
    <t>DO</t>
  </si>
  <si>
    <t>DU</t>
  </si>
  <si>
    <t>Classifier Dimensions, inches.</t>
  </si>
  <si>
    <t>Slurry Split, S</t>
  </si>
  <si>
    <t>Circulating Load, CL</t>
  </si>
  <si>
    <t>Cyclone Pressure, lb/in2</t>
  </si>
  <si>
    <t>Corrected Cut Size, d50c, microns</t>
  </si>
  <si>
    <t>Water By-Pass</t>
  </si>
  <si>
    <t>Cyclone Pressure, ft</t>
  </si>
  <si>
    <t>Number of Cyclones</t>
  </si>
  <si>
    <t>Classifier</t>
  </si>
  <si>
    <t>Efficiency</t>
  </si>
  <si>
    <t>Plitt's Parameter</t>
  </si>
  <si>
    <t>Remarks</t>
  </si>
  <si>
    <t>Diameter</t>
  </si>
  <si>
    <t>Number</t>
  </si>
  <si>
    <t>% Retained</t>
  </si>
  <si>
    <t>% Passing</t>
  </si>
  <si>
    <t>ton/hr</t>
  </si>
  <si>
    <t>Actual</t>
  </si>
  <si>
    <t>Ore Density, ton/m3</t>
  </si>
  <si>
    <t>Size Distributions</t>
  </si>
  <si>
    <t>Inlet</t>
  </si>
  <si>
    <t>Vortex</t>
  </si>
  <si>
    <t>Apex</t>
  </si>
  <si>
    <t>Number of Cyclones :</t>
  </si>
  <si>
    <t>Height</t>
  </si>
  <si>
    <t>Operating Conditions :</t>
  </si>
  <si>
    <t>D50 (corr.), microns</t>
  </si>
  <si>
    <t>Cyclone Dimensions, in :</t>
  </si>
  <si>
    <t>Feed Flowrate, m3/hr</t>
  </si>
  <si>
    <t>Pressure, psi</t>
  </si>
  <si>
    <t>Water By-Pass, %</t>
  </si>
  <si>
    <t>Solids By-Pass, %</t>
  </si>
  <si>
    <t>Circulating Load, %</t>
  </si>
  <si>
    <t>Corrected</t>
  </si>
  <si>
    <t>Classifier Efficiency</t>
  </si>
  <si>
    <t>Size Distributions, % Passing</t>
  </si>
  <si>
    <t>Classifier Constants :</t>
  </si>
  <si>
    <t>Bpf</t>
  </si>
  <si>
    <t>Remarks :</t>
  </si>
  <si>
    <t xml:space="preserve">  Ore, ton/hr</t>
  </si>
  <si>
    <t xml:space="preserve">  Water, m3/hr</t>
  </si>
  <si>
    <t xml:space="preserve">  Slurry, ton/hr</t>
  </si>
  <si>
    <t xml:space="preserve">  Slurry, m3/hr</t>
  </si>
  <si>
    <t xml:space="preserve">  Slurry Dens., ton/m3</t>
  </si>
  <si>
    <t xml:space="preserve">  % Solids (by volume)</t>
  </si>
  <si>
    <t xml:space="preserve">  % Solids (by weight)</t>
  </si>
  <si>
    <t xml:space="preserve">  D80, microns</t>
  </si>
  <si>
    <t>Sample N°</t>
  </si>
  <si>
    <t>% Solids</t>
  </si>
  <si>
    <t>Load</t>
  </si>
  <si>
    <t>CL (ave)</t>
  </si>
  <si>
    <t>Circ.</t>
  </si>
  <si>
    <t>Cyclone Feed (pre-adjusted)</t>
  </si>
  <si>
    <t>Lambda</t>
  </si>
  <si>
    <t>adj.</t>
  </si>
  <si>
    <t>Initial Guesses :</t>
  </si>
  <si>
    <t>Bpc</t>
  </si>
  <si>
    <t>d50c</t>
  </si>
  <si>
    <t>m</t>
  </si>
  <si>
    <t>Fines By-Pass</t>
  </si>
  <si>
    <t>Coarse By-Pass</t>
  </si>
  <si>
    <t>Cyclone U'flow</t>
  </si>
  <si>
    <t>Cyclone O'flow</t>
  </si>
  <si>
    <t>Cyclone O'flow (pre-adjusted)</t>
  </si>
  <si>
    <t>Overall</t>
  </si>
  <si>
    <t>ton/hr (model)</t>
  </si>
  <si>
    <t>(Weighted Error)^2</t>
  </si>
  <si>
    <t>Totals</t>
  </si>
  <si>
    <t>Cyclone Feed</t>
  </si>
  <si>
    <t>Weighting Factor</t>
  </si>
  <si>
    <t>Cyclone U'flow (pre-adjusted)</t>
  </si>
  <si>
    <t>% Passing (exp)</t>
  </si>
  <si>
    <t>% Passing (model)</t>
  </si>
  <si>
    <t>% Retained (model)</t>
  </si>
  <si>
    <t xml:space="preserve"> </t>
  </si>
  <si>
    <t>Obj. Function :</t>
  </si>
  <si>
    <t>Weighting Factors :</t>
  </si>
  <si>
    <t>Streams :</t>
  </si>
  <si>
    <t xml:space="preserve">  Cyclone Feed</t>
  </si>
  <si>
    <t xml:space="preserve">  Cyclone U'flow</t>
  </si>
  <si>
    <t xml:space="preserve">  Cyclone O'flow</t>
  </si>
  <si>
    <t>W. Factors</t>
  </si>
  <si>
    <t>Circ. Load</t>
  </si>
  <si>
    <r>
      <t xml:space="preserve">Moly-Cop Tools </t>
    </r>
    <r>
      <rPr>
        <vertAlign val="superscript"/>
        <sz val="12"/>
        <color indexed="18"/>
        <rFont val="Comic Sans MS"/>
        <family val="4"/>
      </rPr>
      <t>TM</t>
    </r>
  </si>
  <si>
    <t>A GSI Software Development</t>
  </si>
  <si>
    <t>HYDROCYCLONE MASS BALANCE CLOSURE</t>
  </si>
  <si>
    <t xml:space="preserve">               Sample N°</t>
  </si>
  <si>
    <t xml:space="preserve"> Base Case Example</t>
  </si>
  <si>
    <t>EXPERIMENTAL SIZE DISTRIBUTIONS</t>
  </si>
  <si>
    <t>Cyclones Pressure, psi</t>
  </si>
  <si>
    <t>Cyclone Dimensions, inches</t>
  </si>
  <si>
    <t>NO DATA INPUT REQUIRED IN THIS SECTOR</t>
  </si>
  <si>
    <t>CYCLOBAL</t>
  </si>
  <si>
    <t>Cyclone Mass Balance Closure</t>
  </si>
  <si>
    <t>EXPERIMENTAL VALUES</t>
  </si>
  <si>
    <t>FITTED VALUES</t>
  </si>
  <si>
    <t>Raw Experimental Data</t>
  </si>
  <si>
    <r>
      <t>Cyclobal_Single :</t>
    </r>
    <r>
      <rPr>
        <b/>
        <sz val="12"/>
        <color indexed="8"/>
        <rFont val="Arial"/>
        <family val="2"/>
      </rPr>
      <t xml:space="preserve"> HYDROCYLONE MASS BALANCE CLOSURE</t>
    </r>
  </si>
  <si>
    <t>Volumetric Flow, m3/hr</t>
  </si>
  <si>
    <r>
      <t xml:space="preserve">About the </t>
    </r>
    <r>
      <rPr>
        <b/>
        <i/>
        <sz val="10"/>
        <color indexed="18"/>
        <rFont val="Arial"/>
        <family val="2"/>
      </rPr>
      <t>Cyclobal_Single</t>
    </r>
    <r>
      <rPr>
        <i/>
        <sz val="10"/>
        <color indexed="18"/>
        <rFont val="Arial"/>
        <family val="2"/>
      </rPr>
      <t xml:space="preserve"> Spreadsheet ...</t>
    </r>
  </si>
  <si>
    <t>Dry Feedrate, ton/hr</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</si>
</sst>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0000"/>
    <numFmt numFmtId="179" formatCode="0.000"/>
    <numFmt numFmtId="180" formatCode="0.0"/>
    <numFmt numFmtId="181" formatCode="0.0000"/>
    <numFmt numFmtId="182" formatCode="0.00_);[Red]\(0.00\)"/>
    <numFmt numFmtId="183" formatCode="0.00000_);[Red]\(0.00000\)"/>
    <numFmt numFmtId="184" formatCode="0.00\ \ \ "/>
    <numFmt numFmtId="185" formatCode="0\ \ "/>
    <numFmt numFmtId="186" formatCode="0\ \ \ "/>
    <numFmt numFmtId="187" formatCode="0.0\ \ \ "/>
    <numFmt numFmtId="188" formatCode="0.000\ \ \ "/>
    <numFmt numFmtId="189" formatCode="0\ \ \ \ "/>
    <numFmt numFmtId="190" formatCode="0.000\ \ \ \ "/>
    <numFmt numFmtId="191" formatCode="0.0\ \ \ \ "/>
    <numFmt numFmtId="192" formatCode="#,##0.000"/>
    <numFmt numFmtId="193" formatCode="#,##0.0000"/>
    <numFmt numFmtId="194" formatCode="#,##0.0"/>
    <numFmt numFmtId="195" formatCode="0.0%"/>
    <numFmt numFmtId="196" formatCode="0.00\ \ "/>
    <numFmt numFmtId="197" formatCode="0.0\ \ "/>
    <numFmt numFmtId="198" formatCode="0.000\ \ "/>
    <numFmt numFmtId="199" formatCode="0.0000000"/>
    <numFmt numFmtId="200" formatCode="0.000000"/>
    <numFmt numFmtId="201" formatCode="0.0000000000000"/>
    <numFmt numFmtId="202" formatCode="0.00000000"/>
  </numFmts>
  <fonts count="34">
    <font>
      <sz val="10"/>
      <name val="Arial"/>
      <family val="0"/>
    </font>
    <font>
      <b/>
      <sz val="10"/>
      <name val="Arial"/>
      <family val="0"/>
    </font>
    <font>
      <i/>
      <sz val="10"/>
      <name val="Arial"/>
      <family val="0"/>
    </font>
    <font>
      <b/>
      <i/>
      <sz val="10"/>
      <name val="Arial"/>
      <family val="0"/>
    </font>
    <font>
      <sz val="10"/>
      <name val="Symbol"/>
      <family val="1"/>
    </font>
    <font>
      <sz val="8"/>
      <name val="Arial"/>
      <family val="2"/>
    </font>
    <font>
      <b/>
      <sz val="12"/>
      <name val="Arial"/>
      <family val="2"/>
    </font>
    <font>
      <sz val="10"/>
      <color indexed="13"/>
      <name val="Arial"/>
      <family val="2"/>
    </font>
    <font>
      <b/>
      <sz val="10"/>
      <color indexed="10"/>
      <name val="Arial"/>
      <family val="2"/>
    </font>
    <font>
      <sz val="14.75"/>
      <name val="Arial"/>
      <family val="0"/>
    </font>
    <font>
      <b/>
      <sz val="8"/>
      <name val="Arial"/>
      <family val="2"/>
    </font>
    <font>
      <sz val="12"/>
      <color indexed="18"/>
      <name val="Comic Sans MS"/>
      <family val="4"/>
    </font>
    <font>
      <vertAlign val="superscript"/>
      <sz val="12"/>
      <color indexed="18"/>
      <name val="Comic Sans MS"/>
      <family val="4"/>
    </font>
    <font>
      <i/>
      <sz val="8"/>
      <color indexed="18"/>
      <name val="Comic Sans MS"/>
      <family val="4"/>
    </font>
    <font>
      <sz val="10"/>
      <color indexed="22"/>
      <name val="Arial"/>
      <family val="2"/>
    </font>
    <font>
      <sz val="10"/>
      <color indexed="22"/>
      <name val="Symbol"/>
      <family val="1"/>
    </font>
    <font>
      <b/>
      <sz val="12"/>
      <color indexed="8"/>
      <name val="Arial"/>
      <family val="2"/>
    </font>
    <font>
      <b/>
      <sz val="12"/>
      <color indexed="18"/>
      <name val="Arial"/>
      <family val="2"/>
    </font>
    <font>
      <b/>
      <i/>
      <sz val="10"/>
      <color indexed="18"/>
      <name val="Arial"/>
      <family val="2"/>
    </font>
    <font>
      <i/>
      <sz val="10"/>
      <color indexed="18"/>
      <name val="Arial"/>
      <family val="2"/>
    </font>
    <font>
      <b/>
      <sz val="10"/>
      <color indexed="18"/>
      <name val="Arial"/>
      <family val="2"/>
    </font>
    <font>
      <u val="single"/>
      <sz val="10"/>
      <name val="Arial"/>
      <family val="2"/>
    </font>
    <font>
      <b/>
      <vertAlign val="subscript"/>
      <sz val="10"/>
      <name val="Arial"/>
      <family val="2"/>
    </font>
    <font>
      <b/>
      <vertAlign val="superscript"/>
      <sz val="10"/>
      <name val="Arial"/>
      <family val="2"/>
    </font>
    <font>
      <vertAlign val="subscript"/>
      <sz val="10"/>
      <name val="Arial"/>
      <family val="2"/>
    </font>
    <font>
      <vertAlign val="superscript"/>
      <sz val="10"/>
      <name val="Arial"/>
      <family val="2"/>
    </font>
    <font>
      <b/>
      <sz val="10"/>
      <name val="Symbol"/>
      <family val="1"/>
    </font>
    <font>
      <i/>
      <vertAlign val="subscript"/>
      <sz val="10"/>
      <name val="Arial"/>
      <family val="2"/>
    </font>
    <font>
      <i/>
      <vertAlign val="superscript"/>
      <sz val="10"/>
      <name val="Arial"/>
      <family val="2"/>
    </font>
    <font>
      <b/>
      <sz val="16"/>
      <name val="Symbol"/>
      <family val="1"/>
    </font>
    <font>
      <sz val="8"/>
      <name val="Tahoma"/>
      <family val="2"/>
    </font>
    <font>
      <b/>
      <sz val="8"/>
      <name val="Tahoma"/>
      <family val="2"/>
    </font>
    <font>
      <sz val="8"/>
      <color indexed="10"/>
      <name val="Tahoma"/>
      <family val="2"/>
    </font>
    <font>
      <u val="single"/>
      <sz val="8"/>
      <name val="Tahoma"/>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s>
  <borders count="45">
    <border>
      <left/>
      <right/>
      <top/>
      <bottom/>
      <diagonal/>
    </border>
    <border>
      <left>
        <color indexed="63"/>
      </left>
      <right>
        <color indexed="63"/>
      </right>
      <top>
        <color indexed="63"/>
      </top>
      <bottom style="thin"/>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thin"/>
      <right style="thin"/>
      <top style="thin"/>
      <bottom style="thin"/>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double">
        <color indexed="10"/>
      </right>
      <top style="thin"/>
      <bottom>
        <color indexed="63"/>
      </bottom>
    </border>
    <border>
      <left>
        <color indexed="63"/>
      </left>
      <right style="double">
        <color indexed="10"/>
      </right>
      <top>
        <color indexed="63"/>
      </top>
      <bottom style="thin"/>
    </border>
    <border>
      <left style="thin"/>
      <right>
        <color indexed="63"/>
      </right>
      <top style="thin"/>
      <bottom style="thin"/>
    </border>
    <border>
      <left>
        <color indexed="63"/>
      </left>
      <right style="thin"/>
      <top style="thin"/>
      <bottom style="thin"/>
    </border>
    <border>
      <left style="thin"/>
      <right style="double">
        <color indexed="10"/>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style="double">
        <color indexed="10"/>
      </left>
      <right>
        <color indexed="63"/>
      </right>
      <top style="double">
        <color indexed="10"/>
      </top>
      <bottom>
        <color indexed="63"/>
      </bottom>
    </border>
    <border>
      <left style="double">
        <color indexed="10"/>
      </left>
      <right>
        <color indexed="63"/>
      </right>
      <top>
        <color indexed="63"/>
      </top>
      <bottom style="thin"/>
    </border>
    <border>
      <left style="thin"/>
      <right style="double">
        <color indexed="10"/>
      </right>
      <top>
        <color indexed="63"/>
      </top>
      <bottom>
        <color indexed="63"/>
      </bottom>
    </border>
    <border>
      <left>
        <color indexed="63"/>
      </left>
      <right style="double">
        <color indexed="18"/>
      </right>
      <top>
        <color indexed="63"/>
      </top>
      <bottom>
        <color indexed="63"/>
      </bottom>
    </border>
    <border>
      <left style="thin"/>
      <right style="double">
        <color indexed="18"/>
      </right>
      <top>
        <color indexed="63"/>
      </top>
      <bottom style="thin"/>
    </border>
    <border>
      <left>
        <color indexed="63"/>
      </left>
      <right style="double">
        <color indexed="18"/>
      </right>
      <top style="thin"/>
      <bottom>
        <color indexed="63"/>
      </bottom>
    </border>
    <border>
      <left style="double">
        <color indexed="18"/>
      </left>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ouble">
        <color indexed="18"/>
      </right>
      <top style="thin"/>
      <bottom style="thin"/>
    </border>
    <border>
      <left style="double">
        <color indexed="18"/>
      </left>
      <right style="thin"/>
      <top style="thin"/>
      <bottom>
        <color indexed="63"/>
      </bottom>
    </border>
    <border>
      <left style="double">
        <color indexed="18"/>
      </left>
      <right style="thin"/>
      <top>
        <color indexed="63"/>
      </top>
      <bottom>
        <color indexed="63"/>
      </bottom>
    </border>
    <border>
      <left style="double">
        <color indexed="18"/>
      </left>
      <right style="thin"/>
      <top>
        <color indexed="63"/>
      </top>
      <bottom style="thin"/>
    </border>
    <border>
      <left style="double">
        <color indexed="18"/>
      </left>
      <right style="thin"/>
      <top style="thin"/>
      <bottom style="thin"/>
    </border>
    <border>
      <left style="thin">
        <color indexed="8"/>
      </left>
      <right style="thin"/>
      <top style="thin"/>
      <bottom style="thin"/>
    </border>
    <border>
      <left>
        <color indexed="63"/>
      </left>
      <right>
        <color indexed="63"/>
      </right>
      <top style="thin"/>
      <bottom style="thin"/>
    </border>
    <border>
      <left style="double">
        <color indexed="18"/>
      </left>
      <right>
        <color indexed="63"/>
      </right>
      <top style="double">
        <color indexed="18"/>
      </top>
      <bottom style="double">
        <color indexed="18"/>
      </bottom>
    </border>
    <border>
      <left>
        <color indexed="63"/>
      </left>
      <right>
        <color indexed="63"/>
      </right>
      <top style="double">
        <color indexed="18"/>
      </top>
      <bottom style="double">
        <color indexed="18"/>
      </bottom>
    </border>
    <border>
      <left>
        <color indexed="63"/>
      </left>
      <right style="double">
        <color indexed="18"/>
      </right>
      <top style="double">
        <color indexed="18"/>
      </top>
      <bottom style="double">
        <color indexed="18"/>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44">
    <xf numFmtId="0" fontId="0" fillId="0" borderId="0" xfId="0" applyAlignment="1">
      <alignment/>
    </xf>
    <xf numFmtId="179" fontId="0" fillId="0" borderId="0" xfId="0" applyNumberFormat="1" applyAlignment="1">
      <alignment/>
    </xf>
    <xf numFmtId="0" fontId="0" fillId="0" borderId="0" xfId="0" applyAlignment="1">
      <alignment horizontal="right"/>
    </xf>
    <xf numFmtId="0" fontId="0" fillId="0" borderId="0" xfId="0" applyAlignment="1">
      <alignment horizontal="center"/>
    </xf>
    <xf numFmtId="180"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0" xfId="0" applyAlignment="1">
      <alignment horizontal="left"/>
    </xf>
    <xf numFmtId="0" fontId="0" fillId="0" borderId="1" xfId="0" applyBorder="1" applyAlignment="1">
      <alignment/>
    </xf>
    <xf numFmtId="180" fontId="0" fillId="0" borderId="1" xfId="0" applyNumberFormat="1" applyBorder="1" applyAlignment="1">
      <alignment/>
    </xf>
    <xf numFmtId="2" fontId="0" fillId="0" borderId="1" xfId="0" applyNumberFormat="1" applyBorder="1" applyAlignment="1">
      <alignment/>
    </xf>
    <xf numFmtId="0" fontId="5" fillId="0" borderId="0" xfId="0" applyFont="1" applyAlignment="1">
      <alignment/>
    </xf>
    <xf numFmtId="0" fontId="4" fillId="0" borderId="1" xfId="0" applyFont="1" applyBorder="1" applyAlignment="1">
      <alignment horizontal="center"/>
    </xf>
    <xf numFmtId="0" fontId="0" fillId="0" borderId="0" xfId="0" applyBorder="1" applyAlignment="1">
      <alignment/>
    </xf>
    <xf numFmtId="1" fontId="0" fillId="0" borderId="0" xfId="0" applyNumberFormat="1" applyBorder="1" applyAlignment="1">
      <alignment/>
    </xf>
    <xf numFmtId="2" fontId="0" fillId="0" borderId="0" xfId="0" applyNumberFormat="1" applyBorder="1" applyAlignment="1">
      <alignment/>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1" fillId="0" borderId="0" xfId="0" applyFont="1" applyAlignment="1">
      <alignment horizontal="right"/>
    </xf>
    <xf numFmtId="179" fontId="0" fillId="0" borderId="0" xfId="0" applyNumberFormat="1" applyBorder="1" applyAlignment="1">
      <alignment/>
    </xf>
    <xf numFmtId="2" fontId="0" fillId="2" borderId="2" xfId="0" applyNumberFormat="1" applyFill="1" applyBorder="1" applyAlignment="1">
      <alignment/>
    </xf>
    <xf numFmtId="2" fontId="0" fillId="2" borderId="0" xfId="0" applyNumberFormat="1" applyFill="1" applyBorder="1" applyAlignment="1">
      <alignment/>
    </xf>
    <xf numFmtId="2" fontId="0" fillId="2" borderId="3" xfId="0" applyNumberFormat="1" applyFill="1" applyBorder="1" applyAlignment="1">
      <alignment/>
    </xf>
    <xf numFmtId="179" fontId="0" fillId="0" borderId="1" xfId="0" applyNumberFormat="1" applyBorder="1" applyAlignment="1">
      <alignment/>
    </xf>
    <xf numFmtId="0" fontId="0" fillId="0" borderId="4" xfId="0" applyBorder="1" applyAlignment="1">
      <alignment/>
    </xf>
    <xf numFmtId="180" fontId="0" fillId="0" borderId="4" xfId="0" applyNumberFormat="1" applyBorder="1" applyAlignment="1">
      <alignment/>
    </xf>
    <xf numFmtId="180" fontId="0" fillId="0" borderId="4" xfId="0" applyNumberFormat="1" applyBorder="1" applyAlignment="1">
      <alignment horizontal="right"/>
    </xf>
    <xf numFmtId="2" fontId="0" fillId="0" borderId="4" xfId="0" applyNumberFormat="1" applyBorder="1" applyAlignment="1">
      <alignment/>
    </xf>
    <xf numFmtId="2" fontId="0" fillId="0" borderId="4" xfId="0" applyNumberFormat="1" applyBorder="1" applyAlignment="1">
      <alignment horizontal="right"/>
    </xf>
    <xf numFmtId="0" fontId="0" fillId="3" borderId="0" xfId="0" applyFill="1" applyAlignment="1">
      <alignment/>
    </xf>
    <xf numFmtId="0" fontId="0" fillId="3" borderId="0" xfId="0" applyFill="1" applyBorder="1" applyAlignment="1">
      <alignment/>
    </xf>
    <xf numFmtId="0" fontId="0" fillId="3" borderId="3" xfId="0" applyFill="1" applyBorder="1" applyAlignment="1">
      <alignment/>
    </xf>
    <xf numFmtId="0" fontId="0" fillId="3" borderId="0" xfId="0" applyFill="1" applyBorder="1" applyAlignment="1">
      <alignment horizontal="left"/>
    </xf>
    <xf numFmtId="180" fontId="0" fillId="3" borderId="0" xfId="0" applyNumberFormat="1" applyFill="1" applyBorder="1" applyAlignment="1">
      <alignment/>
    </xf>
    <xf numFmtId="180" fontId="0" fillId="3" borderId="0" xfId="0" applyNumberFormat="1" applyFill="1" applyBorder="1" applyAlignment="1">
      <alignment horizontal="right"/>
    </xf>
    <xf numFmtId="2" fontId="0" fillId="3" borderId="0" xfId="0" applyNumberFormat="1" applyFill="1" applyBorder="1" applyAlignment="1">
      <alignment/>
    </xf>
    <xf numFmtId="0" fontId="0" fillId="3" borderId="0"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2" borderId="4" xfId="0" applyFill="1" applyBorder="1" applyAlignment="1">
      <alignment/>
    </xf>
    <xf numFmtId="0" fontId="0" fillId="3" borderId="7" xfId="0" applyFill="1" applyBorder="1" applyAlignment="1">
      <alignment/>
    </xf>
    <xf numFmtId="0" fontId="0" fillId="3" borderId="1" xfId="0" applyFill="1" applyBorder="1" applyAlignment="1">
      <alignment/>
    </xf>
    <xf numFmtId="179" fontId="0" fillId="2" borderId="8" xfId="0" applyNumberFormat="1" applyFill="1" applyBorder="1" applyAlignment="1">
      <alignment/>
    </xf>
    <xf numFmtId="179" fontId="0" fillId="2" borderId="9" xfId="0" applyNumberFormat="1" applyFill="1" applyBorder="1" applyAlignment="1">
      <alignment/>
    </xf>
    <xf numFmtId="2" fontId="0" fillId="2" borderId="10" xfId="0" applyNumberFormat="1" applyFill="1" applyBorder="1" applyAlignment="1">
      <alignment/>
    </xf>
    <xf numFmtId="2" fontId="0" fillId="3" borderId="3" xfId="0" applyNumberFormat="1" applyFill="1" applyBorder="1" applyAlignment="1">
      <alignment/>
    </xf>
    <xf numFmtId="2" fontId="0" fillId="2" borderId="11" xfId="0" applyNumberFormat="1" applyFill="1" applyBorder="1" applyAlignment="1">
      <alignment/>
    </xf>
    <xf numFmtId="182" fontId="0" fillId="2" borderId="7" xfId="0" applyNumberFormat="1" applyFill="1" applyBorder="1" applyAlignment="1">
      <alignment/>
    </xf>
    <xf numFmtId="182" fontId="0" fillId="2" borderId="11" xfId="0" applyNumberFormat="1" applyFill="1" applyBorder="1" applyAlignment="1">
      <alignment/>
    </xf>
    <xf numFmtId="179" fontId="1" fillId="2" borderId="4" xfId="0" applyNumberFormat="1" applyFont="1" applyFill="1" applyBorder="1" applyAlignment="1">
      <alignment/>
    </xf>
    <xf numFmtId="2" fontId="0" fillId="2" borderId="12" xfId="0" applyNumberFormat="1" applyFill="1" applyBorder="1" applyAlignment="1">
      <alignment/>
    </xf>
    <xf numFmtId="2" fontId="0" fillId="2" borderId="13" xfId="0" applyNumberFormat="1" applyFill="1" applyBorder="1" applyAlignment="1">
      <alignment/>
    </xf>
    <xf numFmtId="2" fontId="0" fillId="2" borderId="14" xfId="0" applyNumberFormat="1" applyFill="1" applyBorder="1" applyAlignment="1">
      <alignment/>
    </xf>
    <xf numFmtId="182" fontId="0" fillId="2" borderId="13" xfId="0" applyNumberFormat="1" applyFill="1" applyBorder="1" applyAlignment="1">
      <alignment/>
    </xf>
    <xf numFmtId="183" fontId="0" fillId="2" borderId="4" xfId="0" applyNumberFormat="1" applyFill="1" applyBorder="1" applyAlignment="1">
      <alignment/>
    </xf>
    <xf numFmtId="179" fontId="0" fillId="2" borderId="4" xfId="0" applyNumberFormat="1" applyFill="1" applyBorder="1" applyAlignment="1">
      <alignment/>
    </xf>
    <xf numFmtId="0" fontId="0" fillId="4" borderId="8"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 xfId="0" applyFill="1" applyBorder="1" applyAlignment="1">
      <alignment/>
    </xf>
    <xf numFmtId="0" fontId="0" fillId="4" borderId="7" xfId="0" applyFill="1" applyBorder="1" applyAlignment="1">
      <alignment/>
    </xf>
    <xf numFmtId="179" fontId="0" fillId="3" borderId="3" xfId="0" applyNumberFormat="1" applyFill="1" applyBorder="1" applyAlignment="1">
      <alignment/>
    </xf>
    <xf numFmtId="0" fontId="0" fillId="3" borderId="18" xfId="0" applyFill="1" applyBorder="1" applyAlignment="1">
      <alignment/>
    </xf>
    <xf numFmtId="0" fontId="0" fillId="3" borderId="19" xfId="0" applyFill="1" applyBorder="1" applyAlignment="1">
      <alignment/>
    </xf>
    <xf numFmtId="179" fontId="0" fillId="3" borderId="0" xfId="0" applyNumberFormat="1" applyFill="1" applyBorder="1" applyAlignment="1">
      <alignment/>
    </xf>
    <xf numFmtId="0" fontId="1" fillId="3" borderId="0" xfId="0" applyFont="1" applyFill="1" applyBorder="1" applyAlignment="1">
      <alignment/>
    </xf>
    <xf numFmtId="0" fontId="0" fillId="3" borderId="20" xfId="0" applyFill="1" applyBorder="1" applyAlignment="1">
      <alignment/>
    </xf>
    <xf numFmtId="0" fontId="0" fillId="3" borderId="21" xfId="0" applyFill="1" applyBorder="1" applyAlignment="1">
      <alignment/>
    </xf>
    <xf numFmtId="0" fontId="0" fillId="3" borderId="0" xfId="0" applyFill="1" applyBorder="1" applyAlignment="1">
      <alignment horizontal="right"/>
    </xf>
    <xf numFmtId="1" fontId="0" fillId="3" borderId="0" xfId="0" applyNumberFormat="1" applyFill="1" applyBorder="1" applyAlignment="1">
      <alignment/>
    </xf>
    <xf numFmtId="0" fontId="7" fillId="3" borderId="0" xfId="0" applyFont="1" applyFill="1" applyBorder="1" applyAlignment="1">
      <alignment/>
    </xf>
    <xf numFmtId="180" fontId="7" fillId="3" borderId="0" xfId="0" applyNumberFormat="1" applyFont="1" applyFill="1" applyBorder="1" applyAlignment="1">
      <alignment horizontal="right"/>
    </xf>
    <xf numFmtId="182" fontId="0" fillId="2" borderId="0" xfId="0" applyNumberFormat="1" applyFill="1" applyBorder="1" applyAlignment="1">
      <alignment/>
    </xf>
    <xf numFmtId="183" fontId="0" fillId="2" borderId="0" xfId="0" applyNumberFormat="1" applyFill="1" applyBorder="1" applyAlignment="1">
      <alignment/>
    </xf>
    <xf numFmtId="0" fontId="1" fillId="5" borderId="4" xfId="0" applyFont="1" applyFill="1" applyBorder="1" applyAlignment="1">
      <alignment horizontal="right"/>
    </xf>
    <xf numFmtId="183" fontId="0" fillId="2" borderId="11" xfId="0" applyNumberFormat="1" applyFill="1" applyBorder="1" applyAlignment="1">
      <alignment/>
    </xf>
    <xf numFmtId="0" fontId="1" fillId="2" borderId="17" xfId="0" applyFont="1" applyFill="1" applyBorder="1" applyAlignment="1">
      <alignment horizontal="right"/>
    </xf>
    <xf numFmtId="0" fontId="0" fillId="6" borderId="0" xfId="0" applyFill="1" applyBorder="1" applyAlignment="1">
      <alignment/>
    </xf>
    <xf numFmtId="0" fontId="0" fillId="6" borderId="18" xfId="0" applyFill="1" applyBorder="1" applyAlignment="1">
      <alignment/>
    </xf>
    <xf numFmtId="0" fontId="0" fillId="6" borderId="0" xfId="0" applyFill="1" applyBorder="1" applyAlignment="1">
      <alignment horizontal="center"/>
    </xf>
    <xf numFmtId="179" fontId="0" fillId="6" borderId="1" xfId="0" applyNumberFormat="1" applyFill="1" applyBorder="1" applyAlignment="1">
      <alignment/>
    </xf>
    <xf numFmtId="0" fontId="0" fillId="6" borderId="11" xfId="0" applyFill="1" applyBorder="1" applyAlignment="1">
      <alignment/>
    </xf>
    <xf numFmtId="0" fontId="0" fillId="6" borderId="19" xfId="0" applyFill="1" applyBorder="1" applyAlignment="1">
      <alignment/>
    </xf>
    <xf numFmtId="0" fontId="0" fillId="6" borderId="3" xfId="0" applyFill="1" applyBorder="1" applyAlignment="1">
      <alignment/>
    </xf>
    <xf numFmtId="0" fontId="0" fillId="6" borderId="2" xfId="0" applyFill="1" applyBorder="1" applyAlignment="1">
      <alignment horizontal="center"/>
    </xf>
    <xf numFmtId="0" fontId="0" fillId="6" borderId="3" xfId="0" applyFill="1" applyBorder="1" applyAlignment="1">
      <alignment horizontal="center"/>
    </xf>
    <xf numFmtId="0" fontId="2" fillId="6" borderId="0" xfId="0" applyFont="1" applyFill="1" applyBorder="1" applyAlignment="1">
      <alignment horizontal="center"/>
    </xf>
    <xf numFmtId="0" fontId="0" fillId="6" borderId="2" xfId="0" applyFill="1" applyBorder="1" applyAlignment="1">
      <alignment/>
    </xf>
    <xf numFmtId="0" fontId="0" fillId="6" borderId="1" xfId="0" applyFill="1" applyBorder="1" applyAlignment="1">
      <alignment/>
    </xf>
    <xf numFmtId="0" fontId="0" fillId="6" borderId="22" xfId="0" applyFill="1" applyBorder="1" applyAlignment="1">
      <alignment/>
    </xf>
    <xf numFmtId="0" fontId="0" fillId="6" borderId="23" xfId="0" applyFill="1" applyBorder="1" applyAlignment="1">
      <alignment/>
    </xf>
    <xf numFmtId="0" fontId="0" fillId="6" borderId="6" xfId="0" applyFill="1" applyBorder="1" applyAlignment="1">
      <alignment/>
    </xf>
    <xf numFmtId="2" fontId="0" fillId="6" borderId="8" xfId="0" applyNumberFormat="1" applyFill="1" applyBorder="1" applyAlignment="1">
      <alignment/>
    </xf>
    <xf numFmtId="0" fontId="1" fillId="6" borderId="9" xfId="0" applyFont="1" applyFill="1" applyBorder="1" applyAlignment="1">
      <alignment horizontal="right"/>
    </xf>
    <xf numFmtId="0" fontId="1" fillId="6" borderId="0" xfId="0" applyFont="1" applyFill="1" applyBorder="1" applyAlignment="1">
      <alignment/>
    </xf>
    <xf numFmtId="0" fontId="0" fillId="6" borderId="5" xfId="0" applyFill="1" applyBorder="1" applyAlignment="1">
      <alignment/>
    </xf>
    <xf numFmtId="0" fontId="0" fillId="6" borderId="0" xfId="0" applyFill="1" applyBorder="1" applyAlignment="1">
      <alignment horizontal="right"/>
    </xf>
    <xf numFmtId="183" fontId="0" fillId="6" borderId="0" xfId="0" applyNumberFormat="1" applyFill="1" applyBorder="1" applyAlignment="1">
      <alignment/>
    </xf>
    <xf numFmtId="0" fontId="1" fillId="3" borderId="3" xfId="0" applyFont="1" applyFill="1" applyBorder="1" applyAlignment="1">
      <alignment horizontal="center"/>
    </xf>
    <xf numFmtId="0" fontId="1" fillId="0" borderId="0" xfId="0" applyFont="1" applyAlignment="1">
      <alignment horizontal="center"/>
    </xf>
    <xf numFmtId="0" fontId="1" fillId="3" borderId="3" xfId="0" applyFont="1" applyFill="1" applyBorder="1" applyAlignment="1">
      <alignment/>
    </xf>
    <xf numFmtId="0" fontId="0" fillId="6" borderId="21" xfId="0" applyFill="1" applyBorder="1" applyAlignment="1">
      <alignment/>
    </xf>
    <xf numFmtId="0" fontId="0" fillId="6" borderId="20" xfId="0" applyFill="1" applyBorder="1" applyAlignment="1">
      <alignment/>
    </xf>
    <xf numFmtId="0" fontId="0" fillId="3" borderId="24" xfId="0" applyFill="1" applyBorder="1" applyAlignment="1">
      <alignment/>
    </xf>
    <xf numFmtId="0" fontId="0" fillId="3" borderId="25" xfId="0" applyFill="1" applyBorder="1" applyAlignment="1">
      <alignment/>
    </xf>
    <xf numFmtId="0" fontId="1" fillId="3" borderId="26" xfId="0" applyFont="1" applyFill="1" applyBorder="1" applyAlignment="1">
      <alignment/>
    </xf>
    <xf numFmtId="0" fontId="11" fillId="3" borderId="18" xfId="0" applyFont="1" applyFill="1" applyBorder="1" applyAlignment="1">
      <alignment vertical="center"/>
    </xf>
    <xf numFmtId="0" fontId="13" fillId="3" borderId="18" xfId="0" applyFont="1" applyFill="1" applyBorder="1" applyAlignment="1">
      <alignment horizontal="right" vertical="center"/>
    </xf>
    <xf numFmtId="0" fontId="0" fillId="3" borderId="0" xfId="0" applyFill="1" applyBorder="1" applyAlignment="1">
      <alignment horizontal="center" vertical="center"/>
    </xf>
    <xf numFmtId="0" fontId="0" fillId="3" borderId="24" xfId="0" applyFill="1" applyBorder="1" applyAlignment="1">
      <alignment horizontal="center" vertical="center"/>
    </xf>
    <xf numFmtId="0" fontId="0" fillId="3" borderId="27" xfId="0" applyFill="1" applyBorder="1" applyAlignment="1">
      <alignment horizontal="center" vertical="center"/>
    </xf>
    <xf numFmtId="0" fontId="14" fillId="5" borderId="0" xfId="0" applyFont="1" applyFill="1" applyAlignment="1">
      <alignment/>
    </xf>
    <xf numFmtId="0" fontId="14" fillId="5" borderId="0" xfId="0" applyFont="1" applyFill="1" applyAlignment="1">
      <alignment/>
    </xf>
    <xf numFmtId="0" fontId="14" fillId="0" borderId="0" xfId="0" applyFont="1" applyAlignment="1">
      <alignment/>
    </xf>
    <xf numFmtId="0" fontId="15" fillId="0" borderId="0" xfId="0" applyFont="1" applyAlignment="1">
      <alignment/>
    </xf>
    <xf numFmtId="2" fontId="14" fillId="5" borderId="0" xfId="0" applyNumberFormat="1" applyFont="1" applyFill="1" applyAlignment="1">
      <alignment/>
    </xf>
    <xf numFmtId="2" fontId="14" fillId="0" borderId="0" xfId="0" applyNumberFormat="1" applyFont="1" applyAlignment="1">
      <alignment/>
    </xf>
    <xf numFmtId="17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right"/>
    </xf>
    <xf numFmtId="179" fontId="14" fillId="0" borderId="4" xfId="0" applyNumberFormat="1" applyFont="1" applyBorder="1" applyAlignment="1">
      <alignment/>
    </xf>
    <xf numFmtId="179" fontId="14" fillId="0" borderId="0" xfId="0" applyNumberFormat="1" applyFont="1" applyBorder="1" applyAlignment="1">
      <alignment/>
    </xf>
    <xf numFmtId="0" fontId="11" fillId="0" borderId="0" xfId="0" applyFont="1" applyFill="1" applyBorder="1" applyAlignment="1">
      <alignment vertical="center"/>
    </xf>
    <xf numFmtId="0" fontId="13" fillId="0" borderId="0" xfId="0" applyFont="1" applyFill="1" applyBorder="1" applyAlignment="1">
      <alignment horizontal="right" vertical="center"/>
    </xf>
    <xf numFmtId="1" fontId="0" fillId="0" borderId="1" xfId="0" applyNumberFormat="1" applyBorder="1" applyAlignment="1">
      <alignment/>
    </xf>
    <xf numFmtId="1" fontId="0" fillId="0" borderId="1" xfId="0" applyNumberFormat="1" applyBorder="1" applyAlignment="1">
      <alignment vertical="center"/>
    </xf>
    <xf numFmtId="180" fontId="0" fillId="0" borderId="1" xfId="0" applyNumberFormat="1" applyBorder="1" applyAlignment="1">
      <alignment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2" fontId="0" fillId="0" borderId="9" xfId="0" applyNumberFormat="1" applyBorder="1" applyAlignment="1">
      <alignment/>
    </xf>
    <xf numFmtId="2" fontId="0" fillId="0" borderId="28" xfId="0" applyNumberFormat="1" applyBorder="1" applyAlignment="1">
      <alignment/>
    </xf>
    <xf numFmtId="0" fontId="0" fillId="0" borderId="9" xfId="0" applyBorder="1" applyAlignment="1">
      <alignment/>
    </xf>
    <xf numFmtId="2" fontId="0" fillId="0" borderId="17" xfId="0" applyNumberFormat="1" applyBorder="1" applyAlignment="1">
      <alignment/>
    </xf>
    <xf numFmtId="2" fontId="0" fillId="0" borderId="7" xfId="0" applyNumberFormat="1" applyBorder="1" applyAlignment="1">
      <alignment/>
    </xf>
    <xf numFmtId="186" fontId="0" fillId="0" borderId="0" xfId="0" applyNumberFormat="1" applyAlignment="1">
      <alignment/>
    </xf>
    <xf numFmtId="186" fontId="0" fillId="0" borderId="0" xfId="0" applyNumberFormat="1" applyBorder="1" applyAlignment="1">
      <alignment/>
    </xf>
    <xf numFmtId="180" fontId="0" fillId="2" borderId="4" xfId="0" applyNumberFormat="1" applyFill="1" applyBorder="1" applyAlignment="1">
      <alignment/>
    </xf>
    <xf numFmtId="0" fontId="0" fillId="0" borderId="4" xfId="0" applyBorder="1" applyAlignment="1">
      <alignment horizontal="center"/>
    </xf>
    <xf numFmtId="0" fontId="0" fillId="0" borderId="12" xfId="0" applyBorder="1" applyAlignment="1">
      <alignment horizontal="center"/>
    </xf>
    <xf numFmtId="186" fontId="0" fillId="3" borderId="4" xfId="0" applyNumberFormat="1" applyFill="1" applyBorder="1" applyAlignment="1">
      <alignment/>
    </xf>
    <xf numFmtId="186" fontId="0" fillId="0" borderId="4" xfId="0" applyNumberFormat="1" applyBorder="1" applyAlignment="1">
      <alignment/>
    </xf>
    <xf numFmtId="186" fontId="0" fillId="2" borderId="4" xfId="0" applyNumberFormat="1" applyFill="1" applyBorder="1" applyAlignment="1">
      <alignment/>
    </xf>
    <xf numFmtId="184" fontId="0" fillId="2" borderId="29" xfId="0" applyNumberFormat="1" applyFill="1" applyBorder="1" applyAlignment="1">
      <alignment/>
    </xf>
    <xf numFmtId="184" fontId="0" fillId="2" borderId="30" xfId="0" applyNumberFormat="1" applyFill="1" applyBorder="1" applyAlignment="1">
      <alignment/>
    </xf>
    <xf numFmtId="184" fontId="0" fillId="2" borderId="31" xfId="0" applyNumberFormat="1" applyFill="1" applyBorder="1" applyAlignment="1">
      <alignment/>
    </xf>
    <xf numFmtId="184" fontId="1" fillId="2" borderId="4" xfId="0" applyNumberFormat="1" applyFont="1" applyFill="1" applyBorder="1" applyAlignment="1">
      <alignment/>
    </xf>
    <xf numFmtId="184" fontId="0" fillId="2" borderId="16" xfId="0" applyNumberFormat="1" applyFill="1" applyBorder="1" applyAlignment="1">
      <alignment/>
    </xf>
    <xf numFmtId="184" fontId="0" fillId="2" borderId="28" xfId="0" applyNumberFormat="1" applyFill="1" applyBorder="1" applyAlignment="1">
      <alignment/>
    </xf>
    <xf numFmtId="184" fontId="0" fillId="2" borderId="7" xfId="0" applyNumberFormat="1" applyFill="1" applyBorder="1" applyAlignment="1">
      <alignment/>
    </xf>
    <xf numFmtId="184" fontId="1" fillId="2" borderId="13" xfId="0" applyNumberFormat="1" applyFont="1" applyFill="1" applyBorder="1" applyAlignment="1">
      <alignment/>
    </xf>
    <xf numFmtId="184" fontId="0" fillId="0" borderId="32" xfId="0" applyNumberFormat="1" applyBorder="1" applyAlignment="1">
      <alignment/>
    </xf>
    <xf numFmtId="184" fontId="0" fillId="2" borderId="32" xfId="0" applyNumberFormat="1" applyFill="1" applyBorder="1" applyAlignment="1">
      <alignment/>
    </xf>
    <xf numFmtId="188" fontId="0" fillId="2" borderId="32" xfId="0" applyNumberFormat="1" applyFill="1" applyBorder="1" applyAlignment="1">
      <alignment/>
    </xf>
    <xf numFmtId="186" fontId="0" fillId="2" borderId="8" xfId="0" applyNumberFormat="1" applyFill="1" applyBorder="1" applyAlignment="1">
      <alignment/>
    </xf>
    <xf numFmtId="186" fontId="0" fillId="2" borderId="9" xfId="0" applyNumberFormat="1" applyFill="1" applyBorder="1" applyAlignment="1">
      <alignment/>
    </xf>
    <xf numFmtId="186" fontId="0" fillId="2" borderId="17" xfId="0" applyNumberFormat="1" applyFill="1" applyBorder="1" applyAlignment="1">
      <alignment/>
    </xf>
    <xf numFmtId="184" fontId="0" fillId="2" borderId="33" xfId="0" applyNumberFormat="1" applyFill="1" applyBorder="1" applyAlignment="1">
      <alignment/>
    </xf>
    <xf numFmtId="184" fontId="0" fillId="2" borderId="34" xfId="0" applyNumberFormat="1" applyFill="1" applyBorder="1" applyAlignment="1">
      <alignment/>
    </xf>
    <xf numFmtId="184" fontId="0" fillId="2" borderId="35" xfId="0" applyNumberFormat="1" applyFill="1" applyBorder="1" applyAlignment="1">
      <alignment/>
    </xf>
    <xf numFmtId="184" fontId="1" fillId="2" borderId="36" xfId="0" applyNumberFormat="1" applyFont="1" applyFill="1" applyBorder="1" applyAlignment="1">
      <alignment/>
    </xf>
    <xf numFmtId="0" fontId="19"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179" fontId="0" fillId="0" borderId="0" xfId="0" applyNumberFormat="1" applyFill="1" applyAlignment="1" applyProtection="1">
      <alignment/>
      <protection locked="0"/>
    </xf>
    <xf numFmtId="0" fontId="0" fillId="0" borderId="4" xfId="0" applyBorder="1" applyAlignment="1" applyProtection="1">
      <alignment/>
      <protection locked="0"/>
    </xf>
    <xf numFmtId="179" fontId="0" fillId="0" borderId="4" xfId="0" applyNumberFormat="1" applyBorder="1" applyAlignment="1" applyProtection="1">
      <alignment/>
      <protection locked="0"/>
    </xf>
    <xf numFmtId="180" fontId="0" fillId="0" borderId="4" xfId="0" applyNumberFormat="1" applyBorder="1" applyAlignment="1" applyProtection="1">
      <alignment/>
      <protection locked="0"/>
    </xf>
    <xf numFmtId="0" fontId="1" fillId="0" borderId="0" xfId="0" applyFont="1" applyAlignment="1">
      <alignment horizontal="left" vertical="center"/>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center"/>
    </xf>
    <xf numFmtId="0" fontId="0" fillId="3" borderId="21" xfId="0" applyFill="1" applyBorder="1" applyAlignment="1" applyProtection="1">
      <alignment/>
      <protection/>
    </xf>
    <xf numFmtId="0" fontId="11" fillId="3" borderId="18" xfId="0" applyFont="1" applyFill="1" applyBorder="1" applyAlignment="1" applyProtection="1">
      <alignment vertical="center"/>
      <protection/>
    </xf>
    <xf numFmtId="0" fontId="0" fillId="3" borderId="18" xfId="0" applyFill="1" applyBorder="1" applyAlignment="1" applyProtection="1">
      <alignment/>
      <protection/>
    </xf>
    <xf numFmtId="0" fontId="13" fillId="3" borderId="18" xfId="0" applyFont="1" applyFill="1" applyBorder="1" applyAlignment="1" applyProtection="1">
      <alignment horizontal="right" vertical="center"/>
      <protection/>
    </xf>
    <xf numFmtId="0" fontId="0" fillId="3" borderId="19" xfId="0" applyFill="1" applyBorder="1" applyAlignment="1" applyProtection="1">
      <alignment/>
      <protection/>
    </xf>
    <xf numFmtId="0" fontId="0" fillId="3" borderId="2" xfId="0" applyFill="1" applyBorder="1" applyAlignment="1" applyProtection="1">
      <alignment/>
      <protection/>
    </xf>
    <xf numFmtId="0" fontId="0" fillId="3" borderId="0" xfId="0" applyFill="1" applyAlignment="1" applyProtection="1">
      <alignment/>
      <protection/>
    </xf>
    <xf numFmtId="0" fontId="0" fillId="3" borderId="0" xfId="0" applyFill="1" applyBorder="1" applyAlignment="1" applyProtection="1">
      <alignment/>
      <protection/>
    </xf>
    <xf numFmtId="0" fontId="0" fillId="3" borderId="3" xfId="0" applyFill="1" applyBorder="1" applyAlignment="1" applyProtection="1">
      <alignment/>
      <protection/>
    </xf>
    <xf numFmtId="0" fontId="1" fillId="3" borderId="0" xfId="0" applyFont="1" applyFill="1" applyBorder="1" applyAlignment="1" applyProtection="1">
      <alignment/>
      <protection/>
    </xf>
    <xf numFmtId="0" fontId="0" fillId="2" borderId="4" xfId="0" applyFill="1" applyBorder="1" applyAlignment="1" applyProtection="1">
      <alignment/>
      <protection/>
    </xf>
    <xf numFmtId="0" fontId="1" fillId="3" borderId="0" xfId="0" applyFont="1" applyFill="1" applyBorder="1" applyAlignment="1" applyProtection="1">
      <alignment horizontal="left"/>
      <protection/>
    </xf>
    <xf numFmtId="0" fontId="0" fillId="3" borderId="0" xfId="0" applyFill="1" applyBorder="1" applyAlignment="1" applyProtection="1">
      <alignment horizontal="center"/>
      <protection/>
    </xf>
    <xf numFmtId="179" fontId="0" fillId="3" borderId="0" xfId="0" applyNumberFormat="1" applyFill="1" applyBorder="1" applyAlignment="1" applyProtection="1">
      <alignment/>
      <protection/>
    </xf>
    <xf numFmtId="179" fontId="0" fillId="3" borderId="3" xfId="0" applyNumberFormat="1" applyFill="1" applyBorder="1" applyAlignment="1" applyProtection="1">
      <alignment/>
      <protection/>
    </xf>
    <xf numFmtId="0" fontId="0" fillId="0" borderId="4" xfId="0" applyBorder="1" applyAlignment="1" applyProtection="1">
      <alignment/>
      <protection/>
    </xf>
    <xf numFmtId="2" fontId="0" fillId="3" borderId="0" xfId="0" applyNumberFormat="1" applyFill="1" applyBorder="1" applyAlignment="1" applyProtection="1">
      <alignment/>
      <protection/>
    </xf>
    <xf numFmtId="2" fontId="0" fillId="3" borderId="3" xfId="0" applyNumberFormat="1" applyFill="1" applyBorder="1" applyAlignment="1" applyProtection="1">
      <alignment/>
      <protection/>
    </xf>
    <xf numFmtId="0" fontId="1" fillId="3" borderId="0" xfId="0" applyFont="1" applyFill="1" applyBorder="1" applyAlignment="1" applyProtection="1">
      <alignment horizontal="center"/>
      <protection/>
    </xf>
    <xf numFmtId="179" fontId="1" fillId="5" borderId="4" xfId="0" applyNumberFormat="1" applyFont="1" applyFill="1" applyBorder="1" applyAlignment="1" applyProtection="1">
      <alignment/>
      <protection/>
    </xf>
    <xf numFmtId="2" fontId="0" fillId="2" borderId="37" xfId="0" applyNumberFormat="1" applyFill="1" applyBorder="1" applyAlignment="1" applyProtection="1">
      <alignment/>
      <protection/>
    </xf>
    <xf numFmtId="179" fontId="0" fillId="2" borderId="4" xfId="0" applyNumberFormat="1" applyFill="1" applyBorder="1" applyAlignment="1" applyProtection="1">
      <alignment/>
      <protection/>
    </xf>
    <xf numFmtId="2" fontId="0" fillId="2" borderId="4" xfId="0" applyNumberFormat="1" applyFill="1" applyBorder="1" applyAlignment="1" applyProtection="1">
      <alignment/>
      <protection/>
    </xf>
    <xf numFmtId="0" fontId="4" fillId="3" borderId="0" xfId="0" applyFont="1" applyFill="1" applyBorder="1" applyAlignment="1" applyProtection="1">
      <alignment horizontal="center"/>
      <protection/>
    </xf>
    <xf numFmtId="0" fontId="0" fillId="3" borderId="20" xfId="0" applyFill="1" applyBorder="1" applyAlignment="1" applyProtection="1">
      <alignment/>
      <protection/>
    </xf>
    <xf numFmtId="0" fontId="0" fillId="3" borderId="5" xfId="0" applyFill="1" applyBorder="1" applyAlignment="1" applyProtection="1">
      <alignment/>
      <protection/>
    </xf>
    <xf numFmtId="0" fontId="0" fillId="3" borderId="6" xfId="0" applyFill="1" applyBorder="1" applyAlignment="1" applyProtection="1">
      <alignment/>
      <protection/>
    </xf>
    <xf numFmtId="2" fontId="0" fillId="0" borderId="4" xfId="0" applyNumberFormat="1" applyBorder="1" applyAlignment="1" applyProtection="1">
      <alignment horizontal="right"/>
      <protection locked="0"/>
    </xf>
    <xf numFmtId="2" fontId="0" fillId="0" borderId="4" xfId="0" applyNumberFormat="1" applyBorder="1" applyAlignment="1" applyProtection="1">
      <alignment/>
      <protection locked="0"/>
    </xf>
    <xf numFmtId="186" fontId="0" fillId="3" borderId="4" xfId="0" applyNumberFormat="1" applyFill="1" applyBorder="1" applyAlignment="1" applyProtection="1">
      <alignment/>
      <protection locked="0"/>
    </xf>
    <xf numFmtId="0" fontId="0" fillId="0" borderId="4" xfId="0" applyBorder="1" applyAlignment="1" applyProtection="1">
      <alignment horizontal="center"/>
      <protection locked="0"/>
    </xf>
    <xf numFmtId="186" fontId="0" fillId="0" borderId="4" xfId="0" applyNumberFormat="1" applyBorder="1" applyAlignment="1" applyProtection="1">
      <alignment/>
      <protection locked="0"/>
    </xf>
    <xf numFmtId="184" fontId="0" fillId="0" borderId="32" xfId="0" applyNumberFormat="1" applyBorder="1" applyAlignment="1" applyProtection="1">
      <alignment/>
      <protection locked="0"/>
    </xf>
    <xf numFmtId="0" fontId="0" fillId="0" borderId="12"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xf>
    <xf numFmtId="0" fontId="0" fillId="6" borderId="21" xfId="0" applyFill="1" applyBorder="1" applyAlignment="1" applyProtection="1">
      <alignment/>
      <protection/>
    </xf>
    <xf numFmtId="0" fontId="0" fillId="6" borderId="18" xfId="0" applyFill="1" applyBorder="1" applyAlignment="1" applyProtection="1">
      <alignment/>
      <protection/>
    </xf>
    <xf numFmtId="0" fontId="0" fillId="6" borderId="19" xfId="0" applyFill="1" applyBorder="1" applyAlignment="1" applyProtection="1">
      <alignment/>
      <protection/>
    </xf>
    <xf numFmtId="0" fontId="0" fillId="6" borderId="2" xfId="0" applyFill="1" applyBorder="1" applyAlignment="1" applyProtection="1">
      <alignment/>
      <protection/>
    </xf>
    <xf numFmtId="0" fontId="0" fillId="6" borderId="0" xfId="0" applyFill="1" applyBorder="1" applyAlignment="1" applyProtection="1">
      <alignment/>
      <protection/>
    </xf>
    <xf numFmtId="0" fontId="0" fillId="6" borderId="3" xfId="0" applyFill="1" applyBorder="1" applyAlignment="1" applyProtection="1">
      <alignment/>
      <protection/>
    </xf>
    <xf numFmtId="0" fontId="0" fillId="3" borderId="0" xfId="0" applyFill="1" applyBorder="1" applyAlignment="1" applyProtection="1">
      <alignment horizontal="left"/>
      <protection/>
    </xf>
    <xf numFmtId="180" fontId="0" fillId="3" borderId="0" xfId="0" applyNumberFormat="1" applyFill="1" applyBorder="1" applyAlignment="1" applyProtection="1">
      <alignment/>
      <protection/>
    </xf>
    <xf numFmtId="180" fontId="0" fillId="3" borderId="0" xfId="0" applyNumberFormat="1" applyFill="1" applyBorder="1" applyAlignment="1" applyProtection="1">
      <alignment horizontal="right"/>
      <protection/>
    </xf>
    <xf numFmtId="1" fontId="0" fillId="3" borderId="0" xfId="0" applyNumberFormat="1" applyFill="1" applyBorder="1" applyAlignment="1" applyProtection="1">
      <alignment/>
      <protection/>
    </xf>
    <xf numFmtId="0" fontId="0" fillId="3" borderId="0" xfId="0" applyFill="1" applyBorder="1" applyAlignment="1" applyProtection="1">
      <alignment horizontal="right"/>
      <protection/>
    </xf>
    <xf numFmtId="180" fontId="0" fillId="2" borderId="4" xfId="0" applyNumberFormat="1" applyFill="1" applyBorder="1" applyAlignment="1" applyProtection="1">
      <alignment/>
      <protection/>
    </xf>
    <xf numFmtId="180" fontId="0" fillId="0" borderId="4" xfId="0" applyNumberFormat="1" applyBorder="1" applyAlignment="1" applyProtection="1">
      <alignment horizontal="right"/>
      <protection/>
    </xf>
    <xf numFmtId="2" fontId="0" fillId="0" borderId="4" xfId="0" applyNumberFormat="1" applyBorder="1" applyAlignment="1" applyProtection="1">
      <alignment/>
      <protection/>
    </xf>
    <xf numFmtId="0" fontId="7" fillId="3" borderId="0" xfId="0" applyFont="1" applyFill="1" applyBorder="1" applyAlignment="1" applyProtection="1">
      <alignment/>
      <protection/>
    </xf>
    <xf numFmtId="180" fontId="7" fillId="3" borderId="0" xfId="0" applyNumberFormat="1" applyFont="1" applyFill="1" applyBorder="1" applyAlignment="1" applyProtection="1">
      <alignment horizontal="right"/>
      <protection/>
    </xf>
    <xf numFmtId="0" fontId="0" fillId="3" borderId="24" xfId="0" applyFill="1" applyBorder="1" applyAlignment="1" applyProtection="1">
      <alignment/>
      <protection/>
    </xf>
    <xf numFmtId="0" fontId="1" fillId="3" borderId="3" xfId="0" applyFont="1" applyFill="1" applyBorder="1" applyAlignment="1" applyProtection="1">
      <alignment horizontal="center"/>
      <protection/>
    </xf>
    <xf numFmtId="0" fontId="0" fillId="6" borderId="0" xfId="0" applyFill="1" applyBorder="1" applyAlignment="1" applyProtection="1">
      <alignment horizontal="center"/>
      <protection/>
    </xf>
    <xf numFmtId="0" fontId="0" fillId="6" borderId="2" xfId="0" applyFill="1" applyBorder="1" applyAlignment="1" applyProtection="1">
      <alignment horizontal="center"/>
      <protection/>
    </xf>
    <xf numFmtId="0" fontId="0" fillId="6" borderId="3" xfId="0" applyFill="1" applyBorder="1" applyAlignment="1" applyProtection="1">
      <alignment horizontal="center"/>
      <protection/>
    </xf>
    <xf numFmtId="0" fontId="0" fillId="3" borderId="0" xfId="0" applyFill="1" applyBorder="1" applyAlignment="1" applyProtection="1">
      <alignment horizontal="center" vertical="center"/>
      <protection/>
    </xf>
    <xf numFmtId="0" fontId="0" fillId="3" borderId="24" xfId="0" applyFill="1" applyBorder="1" applyAlignment="1" applyProtection="1">
      <alignment horizontal="center" vertical="center"/>
      <protection/>
    </xf>
    <xf numFmtId="0" fontId="0" fillId="3" borderId="27" xfId="0" applyFill="1" applyBorder="1" applyAlignment="1" applyProtection="1">
      <alignment horizontal="center" vertical="center"/>
      <protection/>
    </xf>
    <xf numFmtId="0" fontId="0" fillId="3" borderId="3" xfId="0" applyFill="1" applyBorder="1" applyAlignment="1" applyProtection="1">
      <alignment horizontal="center"/>
      <protection/>
    </xf>
    <xf numFmtId="0" fontId="2" fillId="6" borderId="0" xfId="0" applyFont="1" applyFill="1" applyBorder="1" applyAlignment="1" applyProtection="1">
      <alignment horizontal="center"/>
      <protection/>
    </xf>
    <xf numFmtId="0" fontId="0" fillId="3" borderId="25" xfId="0" applyFill="1" applyBorder="1" applyAlignment="1" applyProtection="1">
      <alignment/>
      <protection/>
    </xf>
    <xf numFmtId="0" fontId="0" fillId="3" borderId="1" xfId="0" applyFill="1" applyBorder="1" applyAlignment="1" applyProtection="1">
      <alignment/>
      <protection/>
    </xf>
    <xf numFmtId="184" fontId="0" fillId="2" borderId="32" xfId="0" applyNumberFormat="1" applyFill="1" applyBorder="1" applyAlignment="1" applyProtection="1">
      <alignment/>
      <protection/>
    </xf>
    <xf numFmtId="0" fontId="0" fillId="3" borderId="7" xfId="0" applyFill="1" applyBorder="1" applyAlignment="1" applyProtection="1">
      <alignment/>
      <protection/>
    </xf>
    <xf numFmtId="179" fontId="0" fillId="6" borderId="1" xfId="0" applyNumberFormat="1" applyFill="1" applyBorder="1" applyAlignment="1" applyProtection="1">
      <alignment/>
      <protection/>
    </xf>
    <xf numFmtId="0" fontId="0" fillId="6" borderId="11" xfId="0" applyFill="1" applyBorder="1" applyAlignment="1" applyProtection="1">
      <alignment/>
      <protection/>
    </xf>
    <xf numFmtId="0" fontId="0" fillId="6" borderId="22" xfId="0" applyFill="1" applyBorder="1" applyAlignment="1" applyProtection="1">
      <alignment/>
      <protection/>
    </xf>
    <xf numFmtId="0" fontId="0" fillId="6" borderId="1" xfId="0" applyFill="1" applyBorder="1" applyAlignment="1" applyProtection="1">
      <alignment/>
      <protection/>
    </xf>
    <xf numFmtId="2" fontId="0" fillId="2" borderId="10" xfId="0" applyNumberFormat="1" applyFill="1" applyBorder="1" applyAlignment="1" applyProtection="1">
      <alignment/>
      <protection/>
    </xf>
    <xf numFmtId="182" fontId="0" fillId="2" borderId="0" xfId="0" applyNumberFormat="1" applyFill="1" applyBorder="1" applyAlignment="1" applyProtection="1">
      <alignment/>
      <protection/>
    </xf>
    <xf numFmtId="0" fontId="0" fillId="6" borderId="23" xfId="0" applyFill="1" applyBorder="1" applyAlignment="1" applyProtection="1">
      <alignment/>
      <protection/>
    </xf>
    <xf numFmtId="186" fontId="0" fillId="2" borderId="8" xfId="0" applyNumberFormat="1" applyFill="1" applyBorder="1" applyAlignment="1" applyProtection="1">
      <alignment/>
      <protection/>
    </xf>
    <xf numFmtId="184" fontId="0" fillId="2" borderId="33" xfId="0" applyNumberFormat="1" applyFill="1" applyBorder="1" applyAlignment="1" applyProtection="1">
      <alignment/>
      <protection/>
    </xf>
    <xf numFmtId="0" fontId="6" fillId="0" borderId="0" xfId="0" applyFont="1" applyAlignment="1">
      <alignment horizontal="center"/>
    </xf>
    <xf numFmtId="0" fontId="3" fillId="0" borderId="12" xfId="0" applyFont="1" applyBorder="1" applyAlignment="1">
      <alignment horizontal="center"/>
    </xf>
    <xf numFmtId="0" fontId="3" fillId="0" borderId="38" xfId="0" applyFont="1" applyBorder="1" applyAlignment="1">
      <alignment horizontal="center"/>
    </xf>
    <xf numFmtId="0" fontId="3" fillId="0" borderId="13" xfId="0" applyFont="1" applyBorder="1" applyAlignment="1">
      <alignment horizontal="center"/>
    </xf>
    <xf numFmtId="184" fontId="0" fillId="2" borderId="29" xfId="0" applyNumberFormat="1" applyFill="1" applyBorder="1" applyAlignment="1" applyProtection="1">
      <alignment/>
      <protection/>
    </xf>
    <xf numFmtId="184" fontId="0" fillId="2" borderId="16" xfId="0" applyNumberFormat="1" applyFill="1" applyBorder="1" applyAlignment="1" applyProtection="1">
      <alignment/>
      <protection/>
    </xf>
    <xf numFmtId="179" fontId="0" fillId="2" borderId="8" xfId="0" applyNumberFormat="1" applyFill="1" applyBorder="1" applyAlignment="1" applyProtection="1">
      <alignment/>
      <protection/>
    </xf>
    <xf numFmtId="183" fontId="0" fillId="2" borderId="0" xfId="0" applyNumberFormat="1" applyFill="1" applyBorder="1" applyAlignment="1" applyProtection="1">
      <alignment/>
      <protection/>
    </xf>
    <xf numFmtId="2" fontId="0" fillId="2" borderId="2" xfId="0" applyNumberFormat="1" applyFill="1" applyBorder="1" applyAlignment="1" applyProtection="1">
      <alignment/>
      <protection/>
    </xf>
    <xf numFmtId="2" fontId="0" fillId="2" borderId="0" xfId="0" applyNumberFormat="1" applyFill="1" applyBorder="1" applyAlignment="1" applyProtection="1">
      <alignment/>
      <protection/>
    </xf>
    <xf numFmtId="2" fontId="0" fillId="2" borderId="3" xfId="0" applyNumberFormat="1" applyFill="1" applyBorder="1" applyAlignment="1" applyProtection="1">
      <alignment/>
      <protection/>
    </xf>
    <xf numFmtId="186" fontId="0" fillId="2" borderId="9" xfId="0" applyNumberFormat="1" applyFill="1" applyBorder="1" applyAlignment="1" applyProtection="1">
      <alignment/>
      <protection/>
    </xf>
    <xf numFmtId="184" fontId="0" fillId="2" borderId="34" xfId="0" applyNumberFormat="1" applyFill="1" applyBorder="1" applyAlignment="1" applyProtection="1">
      <alignment/>
      <protection/>
    </xf>
    <xf numFmtId="184" fontId="0" fillId="2" borderId="30" xfId="0" applyNumberFormat="1" applyFill="1" applyBorder="1" applyAlignment="1" applyProtection="1">
      <alignment/>
      <protection/>
    </xf>
    <xf numFmtId="184" fontId="0" fillId="2" borderId="28" xfId="0" applyNumberFormat="1" applyFill="1" applyBorder="1" applyAlignment="1" applyProtection="1">
      <alignment/>
      <protection/>
    </xf>
    <xf numFmtId="179" fontId="0" fillId="2" borderId="9" xfId="0" applyNumberFormat="1" applyFill="1" applyBorder="1" applyAlignment="1" applyProtection="1">
      <alignment/>
      <protection/>
    </xf>
    <xf numFmtId="2" fontId="0" fillId="2" borderId="11" xfId="0" applyNumberFormat="1" applyFill="1" applyBorder="1" applyAlignment="1" applyProtection="1">
      <alignment/>
      <protection/>
    </xf>
    <xf numFmtId="182" fontId="0" fillId="2" borderId="11" xfId="0" applyNumberFormat="1" applyFill="1" applyBorder="1" applyAlignment="1" applyProtection="1">
      <alignment/>
      <protection/>
    </xf>
    <xf numFmtId="182" fontId="0" fillId="2" borderId="7" xfId="0" applyNumberFormat="1" applyFill="1" applyBorder="1" applyAlignment="1" applyProtection="1">
      <alignment/>
      <protection/>
    </xf>
    <xf numFmtId="186" fontId="0" fillId="2" borderId="4" xfId="0" applyNumberFormat="1" applyFill="1" applyBorder="1" applyAlignment="1" applyProtection="1">
      <alignment/>
      <protection/>
    </xf>
    <xf numFmtId="186" fontId="0" fillId="2" borderId="17" xfId="0" applyNumberFormat="1" applyFill="1" applyBorder="1" applyAlignment="1" applyProtection="1">
      <alignment/>
      <protection/>
    </xf>
    <xf numFmtId="184" fontId="0" fillId="2" borderId="35" xfId="0" applyNumberFormat="1" applyFill="1" applyBorder="1" applyAlignment="1" applyProtection="1">
      <alignment/>
      <protection/>
    </xf>
    <xf numFmtId="184" fontId="0" fillId="2" borderId="31" xfId="0" applyNumberFormat="1" applyFill="1" applyBorder="1" applyAlignment="1" applyProtection="1">
      <alignment/>
      <protection/>
    </xf>
    <xf numFmtId="184" fontId="0" fillId="2" borderId="7" xfId="0" applyNumberFormat="1" applyFill="1" applyBorder="1" applyAlignment="1" applyProtection="1">
      <alignment/>
      <protection/>
    </xf>
    <xf numFmtId="0" fontId="1" fillId="2" borderId="17" xfId="0" applyFont="1" applyFill="1" applyBorder="1" applyAlignment="1" applyProtection="1">
      <alignment horizontal="right"/>
      <protection/>
    </xf>
    <xf numFmtId="183" fontId="0" fillId="2" borderId="11" xfId="0" applyNumberFormat="1" applyFill="1" applyBorder="1" applyAlignment="1" applyProtection="1">
      <alignment/>
      <protection/>
    </xf>
    <xf numFmtId="2" fontId="0" fillId="6" borderId="8" xfId="0" applyNumberFormat="1" applyFill="1" applyBorder="1" applyAlignment="1" applyProtection="1">
      <alignment/>
      <protection/>
    </xf>
    <xf numFmtId="184" fontId="1" fillId="2" borderId="36" xfId="0" applyNumberFormat="1" applyFont="1" applyFill="1" applyBorder="1" applyAlignment="1" applyProtection="1">
      <alignment/>
      <protection/>
    </xf>
    <xf numFmtId="184" fontId="1" fillId="2" borderId="4" xfId="0" applyNumberFormat="1" applyFont="1" applyFill="1" applyBorder="1" applyAlignment="1" applyProtection="1">
      <alignment/>
      <protection/>
    </xf>
    <xf numFmtId="0" fontId="1" fillId="3" borderId="26" xfId="0" applyFont="1" applyFill="1" applyBorder="1" applyAlignment="1" applyProtection="1">
      <alignment/>
      <protection/>
    </xf>
    <xf numFmtId="184" fontId="1" fillId="2" borderId="13" xfId="0" applyNumberFormat="1" applyFont="1" applyFill="1" applyBorder="1" applyAlignment="1" applyProtection="1">
      <alignment/>
      <protection/>
    </xf>
    <xf numFmtId="0" fontId="1" fillId="3" borderId="3" xfId="0" applyFont="1" applyFill="1" applyBorder="1" applyAlignment="1" applyProtection="1">
      <alignment/>
      <protection/>
    </xf>
    <xf numFmtId="179" fontId="1" fillId="2" borderId="4" xfId="0" applyNumberFormat="1" applyFont="1" applyFill="1" applyBorder="1" applyAlignment="1" applyProtection="1">
      <alignment/>
      <protection/>
    </xf>
    <xf numFmtId="2" fontId="0" fillId="2" borderId="12" xfId="0" applyNumberFormat="1" applyFill="1" applyBorder="1" applyAlignment="1" applyProtection="1">
      <alignment/>
      <protection/>
    </xf>
    <xf numFmtId="2" fontId="0" fillId="2" borderId="13" xfId="0" applyNumberFormat="1" applyFill="1" applyBorder="1" applyAlignment="1" applyProtection="1">
      <alignment/>
      <protection/>
    </xf>
    <xf numFmtId="0" fontId="1" fillId="6" borderId="9" xfId="0" applyFont="1" applyFill="1" applyBorder="1" applyAlignment="1" applyProtection="1">
      <alignment horizontal="right"/>
      <protection/>
    </xf>
    <xf numFmtId="0" fontId="1" fillId="6" borderId="0" xfId="0" applyFont="1" applyFill="1" applyBorder="1" applyAlignment="1" applyProtection="1">
      <alignment/>
      <protection/>
    </xf>
    <xf numFmtId="183" fontId="0" fillId="6" borderId="0" xfId="0" applyNumberFormat="1" applyFill="1" applyBorder="1" applyAlignment="1" applyProtection="1">
      <alignment/>
      <protection/>
    </xf>
    <xf numFmtId="0" fontId="0" fillId="6" borderId="0" xfId="0" applyFill="1" applyBorder="1" applyAlignment="1" applyProtection="1">
      <alignment horizontal="right"/>
      <protection/>
    </xf>
    <xf numFmtId="183" fontId="0" fillId="2" borderId="4" xfId="0" applyNumberFormat="1" applyFill="1" applyBorder="1" applyAlignment="1" applyProtection="1">
      <alignment/>
      <protection/>
    </xf>
    <xf numFmtId="2" fontId="0" fillId="2" borderId="14" xfId="0" applyNumberFormat="1" applyFill="1" applyBorder="1" applyAlignment="1" applyProtection="1">
      <alignment/>
      <protection/>
    </xf>
    <xf numFmtId="182" fontId="0" fillId="2" borderId="13" xfId="0" applyNumberFormat="1" applyFill="1" applyBorder="1" applyAlignment="1" applyProtection="1">
      <alignment/>
      <protection/>
    </xf>
    <xf numFmtId="188" fontId="0" fillId="2" borderId="32" xfId="0" applyNumberFormat="1" applyFill="1" applyBorder="1" applyAlignment="1" applyProtection="1">
      <alignment/>
      <protection/>
    </xf>
    <xf numFmtId="0" fontId="1" fillId="5" borderId="4" xfId="0" applyFont="1" applyFill="1" applyBorder="1" applyAlignment="1" applyProtection="1">
      <alignment horizontal="right"/>
      <protection/>
    </xf>
    <xf numFmtId="0" fontId="0" fillId="6" borderId="20" xfId="0" applyFill="1" applyBorder="1" applyAlignment="1" applyProtection="1">
      <alignment/>
      <protection/>
    </xf>
    <xf numFmtId="0" fontId="0" fillId="6" borderId="5" xfId="0" applyFill="1" applyBorder="1" applyAlignment="1" applyProtection="1">
      <alignment/>
      <protection/>
    </xf>
    <xf numFmtId="0" fontId="0" fillId="6" borderId="6" xfId="0" applyFill="1" applyBorder="1" applyAlignment="1" applyProtection="1">
      <alignment/>
      <protection/>
    </xf>
    <xf numFmtId="0" fontId="17" fillId="3" borderId="0" xfId="0" applyFont="1" applyFill="1" applyBorder="1" applyAlignment="1" applyProtection="1">
      <alignment horizontal="center"/>
      <protection/>
    </xf>
    <xf numFmtId="0" fontId="16" fillId="3" borderId="0" xfId="0" applyFont="1" applyFill="1" applyBorder="1" applyAlignment="1" applyProtection="1">
      <alignment horizontal="center"/>
      <protection/>
    </xf>
    <xf numFmtId="0" fontId="6" fillId="3" borderId="0" xfId="0" applyFont="1" applyFill="1" applyBorder="1" applyAlignment="1" applyProtection="1">
      <alignment horizontal="center"/>
      <protection/>
    </xf>
    <xf numFmtId="0" fontId="6" fillId="5" borderId="39" xfId="0" applyFont="1" applyFill="1" applyBorder="1" applyAlignment="1" applyProtection="1">
      <alignment horizontal="center"/>
      <protection/>
    </xf>
    <xf numFmtId="0" fontId="6" fillId="5" borderId="40" xfId="0" applyFont="1" applyFill="1" applyBorder="1" applyAlignment="1" applyProtection="1">
      <alignment horizontal="center"/>
      <protection/>
    </xf>
    <xf numFmtId="0" fontId="6" fillId="5" borderId="41" xfId="0" applyFont="1" applyFill="1" applyBorder="1" applyAlignment="1" applyProtection="1">
      <alignment horizontal="center"/>
      <protection/>
    </xf>
    <xf numFmtId="0" fontId="8" fillId="6" borderId="42" xfId="0" applyFont="1" applyFill="1" applyBorder="1" applyAlignment="1" applyProtection="1">
      <alignment horizontal="center"/>
      <protection/>
    </xf>
    <xf numFmtId="0" fontId="8" fillId="6" borderId="43" xfId="0" applyFont="1" applyFill="1" applyBorder="1" applyAlignment="1" applyProtection="1">
      <alignment horizontal="center"/>
      <protection/>
    </xf>
    <xf numFmtId="0" fontId="8" fillId="6" borderId="44" xfId="0" applyFont="1" applyFill="1" applyBorder="1" applyAlignment="1" applyProtection="1">
      <alignment horizontal="center"/>
      <protection/>
    </xf>
    <xf numFmtId="0" fontId="0" fillId="4" borderId="8" xfId="0" applyFill="1" applyBorder="1" applyAlignment="1" applyProtection="1">
      <alignment horizontal="left"/>
      <protection locked="0"/>
    </xf>
    <xf numFmtId="0" fontId="0" fillId="4" borderId="15" xfId="0" applyFill="1" applyBorder="1" applyAlignment="1" applyProtection="1">
      <alignment horizontal="left"/>
      <protection locked="0"/>
    </xf>
    <xf numFmtId="0" fontId="0" fillId="4" borderId="16" xfId="0" applyFill="1" applyBorder="1" applyAlignment="1" applyProtection="1">
      <alignment horizontal="left"/>
      <protection locked="0"/>
    </xf>
    <xf numFmtId="0" fontId="0" fillId="4" borderId="17" xfId="0" applyFill="1" applyBorder="1" applyAlignment="1" applyProtection="1">
      <alignment horizontal="left"/>
      <protection locked="0"/>
    </xf>
    <xf numFmtId="0" fontId="0" fillId="4" borderId="1" xfId="0" applyFill="1" applyBorder="1" applyAlignment="1" applyProtection="1">
      <alignment horizontal="left"/>
      <protection locked="0"/>
    </xf>
    <xf numFmtId="0" fontId="0" fillId="4" borderId="7" xfId="0" applyFill="1" applyBorder="1" applyAlignment="1" applyProtection="1">
      <alignment horizontal="left"/>
      <protection locked="0"/>
    </xf>
    <xf numFmtId="0" fontId="1" fillId="3" borderId="27" xfId="0" applyFont="1" applyFill="1" applyBorder="1" applyAlignment="1" applyProtection="1">
      <alignment horizontal="center"/>
      <protection/>
    </xf>
    <xf numFmtId="0" fontId="1" fillId="3" borderId="0" xfId="0" applyFont="1" applyFill="1" applyBorder="1" applyAlignment="1" applyProtection="1">
      <alignment horizontal="center"/>
      <protection/>
    </xf>
    <xf numFmtId="0" fontId="1" fillId="3" borderId="24" xfId="0" applyFont="1" applyFill="1" applyBorder="1" applyAlignment="1" applyProtection="1">
      <alignment horizontal="center"/>
      <protection/>
    </xf>
    <xf numFmtId="0" fontId="0" fillId="6" borderId="2" xfId="0" applyFill="1" applyBorder="1" applyAlignment="1" applyProtection="1">
      <alignment horizontal="center"/>
      <protection/>
    </xf>
    <xf numFmtId="0" fontId="0" fillId="6" borderId="0" xfId="0" applyFill="1" applyBorder="1" applyAlignment="1" applyProtection="1">
      <alignment horizontal="center"/>
      <protection/>
    </xf>
    <xf numFmtId="0" fontId="0" fillId="6" borderId="3" xfId="0" applyFill="1" applyBorder="1" applyAlignment="1" applyProtection="1">
      <alignment horizontal="center"/>
      <protection/>
    </xf>
    <xf numFmtId="0" fontId="14" fillId="0" borderId="12" xfId="0" applyFont="1" applyBorder="1" applyAlignment="1">
      <alignment horizontal="center"/>
    </xf>
    <xf numFmtId="0" fontId="14" fillId="0" borderId="38" xfId="0" applyFont="1" applyBorder="1" applyAlignment="1">
      <alignment horizontal="center"/>
    </xf>
    <xf numFmtId="0" fontId="14" fillId="0" borderId="13" xfId="0" applyFont="1" applyBorder="1" applyAlignment="1">
      <alignment horizontal="center"/>
    </xf>
    <xf numFmtId="0" fontId="0" fillId="6" borderId="2" xfId="0" applyFill="1" applyBorder="1" applyAlignment="1">
      <alignment horizontal="center"/>
    </xf>
    <xf numFmtId="0" fontId="0" fillId="6" borderId="0" xfId="0" applyFill="1" applyBorder="1" applyAlignment="1">
      <alignment horizontal="center"/>
    </xf>
    <xf numFmtId="0" fontId="0" fillId="6" borderId="3" xfId="0" applyFill="1" applyBorder="1" applyAlignment="1">
      <alignment horizontal="center"/>
    </xf>
    <xf numFmtId="0" fontId="6" fillId="5" borderId="39" xfId="0" applyFont="1" applyFill="1" applyBorder="1" applyAlignment="1">
      <alignment horizontal="center"/>
    </xf>
    <xf numFmtId="0" fontId="6" fillId="5" borderId="40" xfId="0" applyFont="1" applyFill="1" applyBorder="1" applyAlignment="1">
      <alignment horizontal="center"/>
    </xf>
    <xf numFmtId="0" fontId="6" fillId="5" borderId="41" xfId="0" applyFont="1" applyFill="1" applyBorder="1" applyAlignment="1">
      <alignment horizontal="center"/>
    </xf>
    <xf numFmtId="0" fontId="1" fillId="3" borderId="27" xfId="0" applyFont="1" applyFill="1" applyBorder="1" applyAlignment="1">
      <alignment horizontal="center"/>
    </xf>
    <xf numFmtId="0" fontId="1" fillId="3" borderId="0" xfId="0" applyFont="1" applyFill="1" applyBorder="1" applyAlignment="1">
      <alignment horizontal="center"/>
    </xf>
    <xf numFmtId="0" fontId="1" fillId="3" borderId="24" xfId="0" applyFont="1" applyFill="1" applyBorder="1" applyAlignment="1">
      <alignment horizontal="center"/>
    </xf>
    <xf numFmtId="0" fontId="6" fillId="3" borderId="0" xfId="0" applyFont="1" applyFill="1" applyBorder="1" applyAlignment="1">
      <alignment horizontal="center"/>
    </xf>
    <xf numFmtId="0" fontId="0" fillId="4" borderId="8" xfId="0" applyFill="1" applyBorder="1" applyAlignment="1">
      <alignment horizontal="left"/>
    </xf>
    <xf numFmtId="0" fontId="0" fillId="4" borderId="15" xfId="0" applyFill="1" applyBorder="1" applyAlignment="1">
      <alignment horizontal="left"/>
    </xf>
    <xf numFmtId="0" fontId="0" fillId="4" borderId="16" xfId="0" applyFill="1" applyBorder="1" applyAlignment="1">
      <alignment horizontal="left"/>
    </xf>
    <xf numFmtId="0" fontId="0" fillId="4" borderId="17" xfId="0" applyFill="1" applyBorder="1" applyAlignment="1">
      <alignment horizontal="left"/>
    </xf>
    <xf numFmtId="0" fontId="0" fillId="4" borderId="1" xfId="0" applyFill="1" applyBorder="1" applyAlignment="1">
      <alignment horizontal="left"/>
    </xf>
    <xf numFmtId="0" fontId="0" fillId="4" borderId="7" xfId="0" applyFill="1" applyBorder="1" applyAlignment="1">
      <alignment horizontal="left"/>
    </xf>
    <xf numFmtId="0" fontId="8" fillId="6" borderId="42" xfId="0" applyFont="1" applyFill="1" applyBorder="1" applyAlignment="1">
      <alignment horizontal="center"/>
    </xf>
    <xf numFmtId="0" fontId="8" fillId="6" borderId="43" xfId="0" applyFont="1" applyFill="1" applyBorder="1" applyAlignment="1">
      <alignment horizontal="center"/>
    </xf>
    <xf numFmtId="0" fontId="8" fillId="6" borderId="4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15"/>
          <c:y val="0.01225"/>
          <c:w val="0.94"/>
          <c:h val="0.94625"/>
        </c:manualLayout>
      </c:layout>
      <c:scatterChart>
        <c:scatterStyle val="smoothMarker"/>
        <c:varyColors val="0"/>
        <c:ser>
          <c:idx val="4"/>
          <c:order val="0"/>
          <c:tx>
            <c:v>Cyclone Feed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800000"/>
                </a:solidFill>
              </a:ln>
            </c:spPr>
          </c:marker>
          <c:xVal>
            <c:numRef>
              <c:f>Data_File!$E$16:$E$35</c:f>
              <c:numCache>
                <c:ptCount val="20"/>
                <c:pt idx="13">
                  <c:v>300</c:v>
                </c:pt>
                <c:pt idx="14">
                  <c:v>212</c:v>
                </c:pt>
                <c:pt idx="15">
                  <c:v>150</c:v>
                </c:pt>
                <c:pt idx="16">
                  <c:v>106</c:v>
                </c:pt>
                <c:pt idx="17">
                  <c:v>75</c:v>
                </c:pt>
                <c:pt idx="18">
                  <c:v>53</c:v>
                </c:pt>
                <c:pt idx="19">
                  <c:v>38</c:v>
                </c:pt>
              </c:numCache>
            </c:numRef>
          </c:xVal>
          <c:yVal>
            <c:numRef>
              <c:f>Data_File!$I$16:$I$35</c:f>
              <c:numCache>
                <c:ptCount val="20"/>
                <c:pt idx="0">
                  <c:v>100</c:v>
                </c:pt>
                <c:pt idx="13">
                  <c:v>100</c:v>
                </c:pt>
                <c:pt idx="14">
                  <c:v>97.23981900452489</c:v>
                </c:pt>
                <c:pt idx="15">
                  <c:v>90.92760180995475</c:v>
                </c:pt>
                <c:pt idx="16">
                  <c:v>78.43891402714932</c:v>
                </c:pt>
                <c:pt idx="17">
                  <c:v>66.44796380090497</c:v>
                </c:pt>
                <c:pt idx="18">
                  <c:v>58.50678733031673</c:v>
                </c:pt>
                <c:pt idx="19">
                  <c:v>52.51131221719456</c:v>
                </c:pt>
              </c:numCache>
            </c:numRef>
          </c:yVal>
          <c:smooth val="1"/>
        </c:ser>
        <c:ser>
          <c:idx val="0"/>
          <c:order val="1"/>
          <c:tx>
            <c:v>Cyclone U'flow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xVal>
            <c:numRef>
              <c:f>Data_File!$E$16:$E$35</c:f>
              <c:numCache>
                <c:ptCount val="20"/>
                <c:pt idx="13">
                  <c:v>300</c:v>
                </c:pt>
                <c:pt idx="14">
                  <c:v>212</c:v>
                </c:pt>
                <c:pt idx="15">
                  <c:v>150</c:v>
                </c:pt>
                <c:pt idx="16">
                  <c:v>106</c:v>
                </c:pt>
                <c:pt idx="17">
                  <c:v>75</c:v>
                </c:pt>
                <c:pt idx="18">
                  <c:v>53</c:v>
                </c:pt>
                <c:pt idx="19">
                  <c:v>38</c:v>
                </c:pt>
              </c:numCache>
            </c:numRef>
          </c:xVal>
          <c:yVal>
            <c:numRef>
              <c:f>Data_File!$L$16:$L$35</c:f>
              <c:numCache>
                <c:ptCount val="20"/>
                <c:pt idx="0">
                  <c:v>100</c:v>
                </c:pt>
                <c:pt idx="13">
                  <c:v>100</c:v>
                </c:pt>
                <c:pt idx="14">
                  <c:v>95.13888888888889</c:v>
                </c:pt>
                <c:pt idx="15">
                  <c:v>79.0625</c:v>
                </c:pt>
                <c:pt idx="16">
                  <c:v>47.72569444444444</c:v>
                </c:pt>
                <c:pt idx="17">
                  <c:v>26.73611111111111</c:v>
                </c:pt>
                <c:pt idx="18">
                  <c:v>17.916666666666668</c:v>
                </c:pt>
                <c:pt idx="19">
                  <c:v>13.73263888888889</c:v>
                </c:pt>
              </c:numCache>
            </c:numRef>
          </c:yVal>
          <c:smooth val="1"/>
        </c:ser>
        <c:ser>
          <c:idx val="1"/>
          <c:order val="2"/>
          <c:tx>
            <c:v>Cyclone O'flow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80"/>
                </a:solidFill>
              </a:ln>
            </c:spPr>
          </c:marker>
          <c:xVal>
            <c:numRef>
              <c:f>Data_File!$E$16:$E$35</c:f>
              <c:numCache>
                <c:ptCount val="20"/>
                <c:pt idx="13">
                  <c:v>300</c:v>
                </c:pt>
                <c:pt idx="14">
                  <c:v>212</c:v>
                </c:pt>
                <c:pt idx="15">
                  <c:v>150</c:v>
                </c:pt>
                <c:pt idx="16">
                  <c:v>106</c:v>
                </c:pt>
                <c:pt idx="17">
                  <c:v>75</c:v>
                </c:pt>
                <c:pt idx="18">
                  <c:v>53</c:v>
                </c:pt>
                <c:pt idx="19">
                  <c:v>38</c:v>
                </c:pt>
              </c:numCache>
            </c:numRef>
          </c:xVal>
          <c:yVal>
            <c:numRef>
              <c:f>Data_File!$O$16:$O$35</c:f>
              <c:numCache>
                <c:ptCount val="20"/>
                <c:pt idx="0">
                  <c:v>100</c:v>
                </c:pt>
                <c:pt idx="13">
                  <c:v>100</c:v>
                </c:pt>
                <c:pt idx="14">
                  <c:v>99.52054794520548</c:v>
                </c:pt>
                <c:pt idx="15">
                  <c:v>97.78538812785388</c:v>
                </c:pt>
                <c:pt idx="16">
                  <c:v>94.13242009132419</c:v>
                </c:pt>
                <c:pt idx="17">
                  <c:v>87.73972602739725</c:v>
                </c:pt>
                <c:pt idx="18">
                  <c:v>79.56621004566209</c:v>
                </c:pt>
                <c:pt idx="19">
                  <c:v>72.648401826484</c:v>
                </c:pt>
              </c:numCache>
            </c:numRef>
          </c:yVal>
          <c:smooth val="1"/>
        </c:ser>
        <c:ser>
          <c:idx val="2"/>
          <c:order val="3"/>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Data_File!$E$16:$E$35</c:f>
              <c:numCache>
                <c:ptCount val="20"/>
                <c:pt idx="13">
                  <c:v>300</c:v>
                </c:pt>
                <c:pt idx="14">
                  <c:v>212</c:v>
                </c:pt>
                <c:pt idx="15">
                  <c:v>150</c:v>
                </c:pt>
                <c:pt idx="16">
                  <c:v>106</c:v>
                </c:pt>
                <c:pt idx="17">
                  <c:v>75</c:v>
                </c:pt>
                <c:pt idx="18">
                  <c:v>53</c:v>
                </c:pt>
                <c:pt idx="19">
                  <c:v>38</c:v>
                </c:pt>
              </c:numCache>
            </c:numRef>
          </c:xVal>
          <c:yVal>
            <c:numRef>
              <c:f>Reports!$E$21:$E$40</c:f>
              <c:numCache>
                <c:ptCount val="20"/>
                <c:pt idx="0">
                  <c:v>100</c:v>
                </c:pt>
                <c:pt idx="1">
                  <c:v>0</c:v>
                </c:pt>
                <c:pt idx="2">
                  <c:v>0</c:v>
                </c:pt>
                <c:pt idx="3">
                  <c:v>0</c:v>
                </c:pt>
                <c:pt idx="4">
                  <c:v>0</c:v>
                </c:pt>
                <c:pt idx="5">
                  <c:v>0</c:v>
                </c:pt>
                <c:pt idx="6">
                  <c:v>0</c:v>
                </c:pt>
                <c:pt idx="7">
                  <c:v>0</c:v>
                </c:pt>
                <c:pt idx="8">
                  <c:v>0</c:v>
                </c:pt>
                <c:pt idx="9">
                  <c:v>0</c:v>
                </c:pt>
                <c:pt idx="10">
                  <c:v>0</c:v>
                </c:pt>
                <c:pt idx="11">
                  <c:v>0</c:v>
                </c:pt>
                <c:pt idx="12">
                  <c:v>0</c:v>
                </c:pt>
                <c:pt idx="13">
                  <c:v>100.00000000000001</c:v>
                </c:pt>
                <c:pt idx="14">
                  <c:v>97.2936469228244</c:v>
                </c:pt>
                <c:pt idx="15">
                  <c:v>89.94693385041897</c:v>
                </c:pt>
                <c:pt idx="16">
                  <c:v>75.46142274710002</c:v>
                </c:pt>
                <c:pt idx="17">
                  <c:v>62.81145247420368</c:v>
                </c:pt>
                <c:pt idx="18">
                  <c:v>54.63985063044093</c:v>
                </c:pt>
                <c:pt idx="19">
                  <c:v>48.82068164610915</c:v>
                </c:pt>
              </c:numCache>
            </c:numRef>
          </c:yVal>
          <c:smooth val="1"/>
        </c:ser>
        <c:ser>
          <c:idx val="3"/>
          <c:order val="4"/>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Data_File!$E$16:$E$35</c:f>
              <c:numCache>
                <c:ptCount val="20"/>
                <c:pt idx="13">
                  <c:v>300</c:v>
                </c:pt>
                <c:pt idx="14">
                  <c:v>212</c:v>
                </c:pt>
                <c:pt idx="15">
                  <c:v>150</c:v>
                </c:pt>
                <c:pt idx="16">
                  <c:v>106</c:v>
                </c:pt>
                <c:pt idx="17">
                  <c:v>75</c:v>
                </c:pt>
                <c:pt idx="18">
                  <c:v>53</c:v>
                </c:pt>
                <c:pt idx="19">
                  <c:v>38</c:v>
                </c:pt>
              </c:numCache>
            </c:numRef>
          </c:xVal>
          <c:yVal>
            <c:numRef>
              <c:f>Reports!$F$21:$F$40</c:f>
              <c:numCache>
                <c:ptCount val="20"/>
                <c:pt idx="0">
                  <c:v>100</c:v>
                </c:pt>
                <c:pt idx="1">
                  <c:v>41.24556364288083</c:v>
                </c:pt>
                <c:pt idx="2">
                  <c:v>41.24556364288083</c:v>
                </c:pt>
                <c:pt idx="3">
                  <c:v>41.24556364288083</c:v>
                </c:pt>
                <c:pt idx="4">
                  <c:v>41.24556364288083</c:v>
                </c:pt>
                <c:pt idx="5">
                  <c:v>41.24556364288083</c:v>
                </c:pt>
                <c:pt idx="6">
                  <c:v>41.24556364288083</c:v>
                </c:pt>
                <c:pt idx="7">
                  <c:v>41.24556364288083</c:v>
                </c:pt>
                <c:pt idx="8">
                  <c:v>41.24556364288083</c:v>
                </c:pt>
                <c:pt idx="9">
                  <c:v>41.24556364288083</c:v>
                </c:pt>
                <c:pt idx="10">
                  <c:v>41.24556364288083</c:v>
                </c:pt>
                <c:pt idx="11">
                  <c:v>41.24556364288083</c:v>
                </c:pt>
                <c:pt idx="12">
                  <c:v>41.24556364288083</c:v>
                </c:pt>
                <c:pt idx="13">
                  <c:v>100</c:v>
                </c:pt>
                <c:pt idx="14">
                  <c:v>95.50592508668205</c:v>
                </c:pt>
                <c:pt idx="15">
                  <c:v>83.84415847612092</c:v>
                </c:pt>
                <c:pt idx="16">
                  <c:v>63.051568062172436</c:v>
                </c:pt>
                <c:pt idx="17">
                  <c:v>47.38343059019978</c:v>
                </c:pt>
                <c:pt idx="18">
                  <c:v>38.81358375255846</c:v>
                </c:pt>
                <c:pt idx="19">
                  <c:v>33.584562854324666</c:v>
                </c:pt>
              </c:numCache>
            </c:numRef>
          </c:yVal>
          <c:smooth val="1"/>
        </c:ser>
        <c:ser>
          <c:idx val="5"/>
          <c:order val="5"/>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Data_File!$E$16:$E$35</c:f>
              <c:numCache>
                <c:ptCount val="20"/>
                <c:pt idx="13">
                  <c:v>300</c:v>
                </c:pt>
                <c:pt idx="14">
                  <c:v>212</c:v>
                </c:pt>
                <c:pt idx="15">
                  <c:v>150</c:v>
                </c:pt>
                <c:pt idx="16">
                  <c:v>106</c:v>
                </c:pt>
                <c:pt idx="17">
                  <c:v>75</c:v>
                </c:pt>
                <c:pt idx="18">
                  <c:v>53</c:v>
                </c:pt>
                <c:pt idx="19">
                  <c:v>38</c:v>
                </c:pt>
              </c:numCache>
            </c:numRef>
          </c:xVal>
          <c:yVal>
            <c:numRef>
              <c:f>Reports!$G$21:$G$40</c:f>
              <c:numCache>
                <c:ptCount val="20"/>
                <c:pt idx="0">
                  <c:v>99.99999999999997</c:v>
                </c:pt>
                <c:pt idx="1">
                  <c:v>-60.771584128460546</c:v>
                </c:pt>
                <c:pt idx="2">
                  <c:v>-60.771584128460546</c:v>
                </c:pt>
                <c:pt idx="3">
                  <c:v>-60.771584128460546</c:v>
                </c:pt>
                <c:pt idx="4">
                  <c:v>-60.771584128460546</c:v>
                </c:pt>
                <c:pt idx="5">
                  <c:v>-60.771584128460546</c:v>
                </c:pt>
                <c:pt idx="6">
                  <c:v>-60.771584128460546</c:v>
                </c:pt>
                <c:pt idx="7">
                  <c:v>-60.771584128460546</c:v>
                </c:pt>
                <c:pt idx="8">
                  <c:v>-60.771584128460546</c:v>
                </c:pt>
                <c:pt idx="9">
                  <c:v>-60.771584128460546</c:v>
                </c:pt>
                <c:pt idx="10">
                  <c:v>-60.771584128460546</c:v>
                </c:pt>
                <c:pt idx="11">
                  <c:v>-60.771584128460546</c:v>
                </c:pt>
                <c:pt idx="12">
                  <c:v>-60.771584128460546</c:v>
                </c:pt>
                <c:pt idx="13">
                  <c:v>99.99999999999997</c:v>
                </c:pt>
                <c:pt idx="14">
                  <c:v>99.92769234172265</c:v>
                </c:pt>
                <c:pt idx="15">
                  <c:v>98.93881793006018</c:v>
                </c:pt>
                <c:pt idx="16">
                  <c:v>93.74621416216938</c:v>
                </c:pt>
                <c:pt idx="17">
                  <c:v>85.54323856342842</c:v>
                </c:pt>
                <c:pt idx="18">
                  <c:v>77.95841447251152</c:v>
                </c:pt>
                <c:pt idx="19">
                  <c:v>71.26971599470308</c:v>
                </c:pt>
              </c:numCache>
            </c:numRef>
          </c:yVal>
          <c:smooth val="1"/>
        </c:ser>
        <c:axId val="35426099"/>
        <c:axId val="50399436"/>
      </c:scatterChart>
      <c:valAx>
        <c:axId val="35426099"/>
        <c:scaling>
          <c:logBase val="10"/>
          <c:orientation val="minMax"/>
          <c:max val="10000"/>
          <c:min val="10"/>
        </c:scaling>
        <c:axPos val="b"/>
        <c:title>
          <c:tx>
            <c:rich>
              <a:bodyPr vert="horz" rot="0" anchor="ctr"/>
              <a:lstStyle/>
              <a:p>
                <a:pPr algn="ctr">
                  <a:defRPr/>
                </a:pPr>
                <a:r>
                  <a:rPr lang="en-US" cap="none" sz="800" b="1" i="0" u="none" baseline="0">
                    <a:latin typeface="Arial"/>
                    <a:ea typeface="Arial"/>
                    <a:cs typeface="Arial"/>
                  </a:rPr>
                  <a:t>Particle Size, microns</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399436"/>
        <c:crosses val="autoZero"/>
        <c:crossBetween val="midCat"/>
        <c:dispUnits/>
      </c:valAx>
      <c:valAx>
        <c:axId val="50399436"/>
        <c:scaling>
          <c:logBase val="10"/>
          <c:orientation val="minMax"/>
          <c:max val="100"/>
          <c:min val="1"/>
        </c:scaling>
        <c:axPos val="l"/>
        <c:title>
          <c:tx>
            <c:rich>
              <a:bodyPr vert="horz" rot="-5400000" anchor="ctr"/>
              <a:lstStyle/>
              <a:p>
                <a:pPr algn="ctr">
                  <a:defRPr/>
                </a:pPr>
                <a:r>
                  <a:rPr lang="en-US" cap="none" sz="800" b="1" i="0" u="none" baseline="0">
                    <a:latin typeface="Arial"/>
                    <a:ea typeface="Arial"/>
                    <a:cs typeface="Arial"/>
                  </a:rPr>
                  <a:t>% Passing</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426099"/>
        <c:crosses val="autoZero"/>
        <c:crossBetween val="midCat"/>
        <c:dispUnits/>
      </c:valAx>
      <c:spPr>
        <a:noFill/>
        <a:ln w="12700">
          <a:solidFill>
            <a:srgbClr val="808080"/>
          </a:solidFill>
        </a:ln>
      </c:spPr>
    </c:plotArea>
    <c:legend>
      <c:legendPos val="r"/>
      <c:legendEntry>
        <c:idx val="3"/>
        <c:delete val="1"/>
      </c:legendEntry>
      <c:legendEntry>
        <c:idx val="4"/>
        <c:delete val="1"/>
      </c:legendEntry>
      <c:legendEntry>
        <c:idx val="5"/>
        <c:delete val="1"/>
      </c:legendEntry>
      <c:layout>
        <c:manualLayout>
          <c:xMode val="edge"/>
          <c:yMode val="edge"/>
          <c:x val="0.657"/>
          <c:y val="0.7005"/>
          <c:w val="0.25875"/>
          <c:h val="0.177"/>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4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9525</xdr:rowOff>
    </xdr:from>
    <xdr:to>
      <xdr:col>11</xdr:col>
      <xdr:colOff>600075</xdr:colOff>
      <xdr:row>52</xdr:row>
      <xdr:rowOff>152400</xdr:rowOff>
    </xdr:to>
    <xdr:sp>
      <xdr:nvSpPr>
        <xdr:cNvPr id="1" name="TextBox 1"/>
        <xdr:cNvSpPr txBox="1">
          <a:spLocks noChangeArrowheads="1"/>
        </xdr:cNvSpPr>
      </xdr:nvSpPr>
      <xdr:spPr>
        <a:xfrm>
          <a:off x="104775" y="333375"/>
          <a:ext cx="6705600" cy="8239125"/>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1" i="0" u="none" baseline="0">
              <a:latin typeface="Arial"/>
              <a:ea typeface="Arial"/>
              <a:cs typeface="Arial"/>
            </a:rPr>
            <a:t>
</a:t>
          </a:r>
          <a:r>
            <a:rPr lang="en-US" cap="none" sz="1000" b="1" i="0" u="none" baseline="0">
              <a:solidFill>
                <a:srgbClr val="000080"/>
              </a:solidFill>
              <a:latin typeface="Arial"/>
              <a:ea typeface="Arial"/>
              <a:cs typeface="Arial"/>
            </a:rPr>
            <a:t>Scope :</a:t>
          </a:r>
          <a:r>
            <a:rPr lang="en-US" cap="none" sz="1000" b="0" i="0" u="none" baseline="0">
              <a:latin typeface="Arial"/>
              <a:ea typeface="Arial"/>
              <a:cs typeface="Arial"/>
            </a:rPr>
            <a:t>
The </a:t>
          </a:r>
          <a:r>
            <a:rPr lang="en-US" cap="none" sz="1000" b="1" i="0" u="none" baseline="0">
              <a:latin typeface="Arial"/>
              <a:ea typeface="Arial"/>
              <a:cs typeface="Arial"/>
            </a:rPr>
            <a:t>Cyclobal_Single</a:t>
          </a:r>
          <a:r>
            <a:rPr lang="en-US" cap="none" sz="1000" b="0" i="0" u="none" baseline="0">
              <a:latin typeface="Arial"/>
              <a:ea typeface="Arial"/>
              <a:cs typeface="Arial"/>
            </a:rPr>
            <a:t> spreadsheet was designed to compute the </a:t>
          </a:r>
          <a:r>
            <a:rPr lang="en-US" cap="none" sz="1000" b="1" i="0" u="none" baseline="0">
              <a:latin typeface="Arial"/>
              <a:ea typeface="Arial"/>
              <a:cs typeface="Arial"/>
            </a:rPr>
            <a:t>Size-by-Size Mass Balance</a:t>
          </a:r>
          <a:r>
            <a:rPr lang="en-US" cap="none" sz="1000" b="0" i="0" u="none" baseline="0">
              <a:latin typeface="Arial"/>
              <a:ea typeface="Arial"/>
              <a:cs typeface="Arial"/>
            </a:rPr>
            <a:t> around a </a:t>
          </a:r>
          <a:r>
            <a:rPr lang="en-US" cap="none" sz="1000" b="1" i="0" u="none" baseline="0">
              <a:latin typeface="Arial"/>
              <a:ea typeface="Arial"/>
              <a:cs typeface="Arial"/>
            </a:rPr>
            <a:t>Hydrocyclone Classifier</a:t>
          </a:r>
          <a:r>
            <a:rPr lang="en-US" cap="none" sz="1000" b="0" i="0" u="none" baseline="0">
              <a:latin typeface="Arial"/>
              <a:ea typeface="Arial"/>
              <a:cs typeface="Arial"/>
            </a:rPr>
            <a:t> on the basis of actual plant measurements from any given existing installation.
</a:t>
          </a:r>
          <a:r>
            <a:rPr lang="en-US" cap="none" sz="1000" b="1" i="0" u="none" baseline="0">
              <a:solidFill>
                <a:srgbClr val="000080"/>
              </a:solidFill>
              <a:latin typeface="Arial"/>
              <a:ea typeface="Arial"/>
              <a:cs typeface="Arial"/>
            </a:rPr>
            <a:t>Theoretical Framework :</a:t>
          </a:r>
          <a:r>
            <a:rPr lang="en-US" cap="none" sz="1000" b="0" i="0" u="none" baseline="0">
              <a:latin typeface="Arial"/>
              <a:ea typeface="Arial"/>
              <a:cs typeface="Arial"/>
            </a:rPr>
            <a:t>
Whenever actual data are collected in a plant environment, they will invariably be affected by natural experimental and measurement errors, in such a way that - in the particular case of hydrocyclones - the basic mass balance equation for the mass flowrate of particles of size d</a:t>
          </a:r>
          <a:r>
            <a:rPr lang="en-US" cap="none" sz="1000" b="0" i="0" u="none" baseline="-25000">
              <a:latin typeface="Arial"/>
              <a:ea typeface="Arial"/>
              <a:cs typeface="Arial"/>
            </a:rPr>
            <a:t>i</a:t>
          </a:r>
          <a:r>
            <a:rPr lang="en-US" cap="none" sz="1000" b="0" i="0" u="none" baseline="0">
              <a:latin typeface="Arial"/>
              <a:ea typeface="Arial"/>
              <a:cs typeface="Arial"/>
            </a:rPr>
            <a:t> :
                                                                 </a:t>
          </a:r>
          <a:r>
            <a:rPr lang="en-US" cap="none" sz="1000" b="1" i="0" u="none" baseline="0">
              <a:latin typeface="Arial"/>
              <a:ea typeface="Arial"/>
              <a:cs typeface="Arial"/>
            </a:rPr>
            <a:t> 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1" i="0" u="none" baseline="0">
              <a:latin typeface="Arial"/>
              <a:ea typeface="Arial"/>
              <a:cs typeface="Arial"/>
            </a:rPr>
            <a:t> F  =  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1" i="0" u="none" baseline="0">
              <a:latin typeface="Arial"/>
              <a:ea typeface="Arial"/>
              <a:cs typeface="Arial"/>
            </a:rPr>
            <a:t> U + 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1" i="0" u="none" baseline="0">
              <a:latin typeface="Arial"/>
              <a:ea typeface="Arial"/>
              <a:cs typeface="Arial"/>
            </a:rPr>
            <a:t> O    ???            </a:t>
          </a:r>
          <a:r>
            <a:rPr lang="en-US" cap="none" sz="1000" b="0" i="0" u="none" baseline="0">
              <a:latin typeface="Arial"/>
              <a:ea typeface="Arial"/>
              <a:cs typeface="Arial"/>
            </a:rPr>
            <a:t>, for i = 1,n</a:t>
          </a:r>
          <a:r>
            <a:rPr lang="en-US" cap="none" sz="1000" b="0" i="0" u="none" baseline="0">
              <a:latin typeface="Arial"/>
              <a:ea typeface="Arial"/>
              <a:cs typeface="Arial"/>
            </a:rPr>
            <a:t>
will never be satisfied. In the above expression </a:t>
          </a:r>
          <a:r>
            <a:rPr lang="en-US" cap="none" sz="1000" b="1" i="0" u="none" baseline="0">
              <a:latin typeface="Arial"/>
              <a:ea typeface="Arial"/>
              <a:cs typeface="Arial"/>
            </a:rPr>
            <a:t>F</a:t>
          </a:r>
          <a:r>
            <a:rPr lang="en-US" cap="none" sz="1000" b="0" i="0" u="none" baseline="0">
              <a:latin typeface="Arial"/>
              <a:ea typeface="Arial"/>
              <a:cs typeface="Arial"/>
            </a:rPr>
            <a:t>, </a:t>
          </a:r>
          <a:r>
            <a:rPr lang="en-US" cap="none" sz="1000" b="1" i="0" u="none" baseline="0">
              <a:latin typeface="Arial"/>
              <a:ea typeface="Arial"/>
              <a:cs typeface="Arial"/>
            </a:rPr>
            <a:t>U</a:t>
          </a:r>
          <a:r>
            <a:rPr lang="en-US" cap="none" sz="1000" b="0" i="0" u="none" baseline="0">
              <a:latin typeface="Arial"/>
              <a:ea typeface="Arial"/>
              <a:cs typeface="Arial"/>
            </a:rPr>
            <a:t> and </a:t>
          </a:r>
          <a:r>
            <a:rPr lang="en-US" cap="none" sz="1000" b="1" i="0" u="none" baseline="0">
              <a:latin typeface="Arial"/>
              <a:ea typeface="Arial"/>
              <a:cs typeface="Arial"/>
            </a:rPr>
            <a:t>O</a:t>
          </a:r>
          <a:r>
            <a:rPr lang="en-US" cap="none" sz="1000" b="0" i="0" u="none" baseline="0">
              <a:latin typeface="Arial"/>
              <a:ea typeface="Arial"/>
              <a:cs typeface="Arial"/>
            </a:rPr>
            <a:t> represent the mass flowrate of solids in the cyclone feed, underflow and overflow streams, respectively. Similarly, </a:t>
          </a:r>
          <a:r>
            <a:rPr lang="en-US" cap="none" sz="1000" b="1" i="0" u="none" baseline="0">
              <a:latin typeface="Arial"/>
              <a:ea typeface="Arial"/>
              <a:cs typeface="Arial"/>
            </a:rPr>
            <a:t>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0" i="0" u="none" baseline="0">
              <a:latin typeface="Arial"/>
              <a:ea typeface="Arial"/>
              <a:cs typeface="Arial"/>
            </a:rPr>
            <a:t>, </a:t>
          </a:r>
          <a:r>
            <a:rPr lang="en-US" cap="none" sz="1000" b="1" i="0" u="none" baseline="0">
              <a:latin typeface="Arial"/>
              <a:ea typeface="Arial"/>
              <a:cs typeface="Arial"/>
            </a:rPr>
            <a:t>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0" i="0" u="none" baseline="0">
              <a:latin typeface="Arial"/>
              <a:ea typeface="Arial"/>
              <a:cs typeface="Arial"/>
            </a:rPr>
            <a:t> and </a:t>
          </a:r>
          <a:r>
            <a:rPr lang="en-US" cap="none" sz="1000" b="1" i="0" u="none" baseline="0">
              <a:latin typeface="Arial"/>
              <a:ea typeface="Arial"/>
              <a:cs typeface="Arial"/>
            </a:rPr>
            <a:t>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0" i="0" u="none" baseline="0">
              <a:latin typeface="Arial"/>
              <a:ea typeface="Arial"/>
              <a:cs typeface="Arial"/>
            </a:rPr>
            <a:t> represent the fraction of those total respective streams corresponding to particles of size d</a:t>
          </a:r>
          <a:r>
            <a:rPr lang="en-US" cap="none" sz="1000" b="0" i="0" u="none" baseline="-25000">
              <a:latin typeface="Arial"/>
              <a:ea typeface="Arial"/>
              <a:cs typeface="Arial"/>
            </a:rPr>
            <a:t>i</a:t>
          </a:r>
          <a:r>
            <a:rPr lang="en-US" cap="none" sz="1000" b="0" i="0" u="none" baseline="0">
              <a:latin typeface="Arial"/>
              <a:ea typeface="Arial"/>
              <a:cs typeface="Arial"/>
            </a:rPr>
            <a:t>.
The </a:t>
          </a:r>
          <a:r>
            <a:rPr lang="en-US" cap="none" sz="1000" b="1" i="0" u="none" baseline="0">
              <a:latin typeface="Arial"/>
              <a:ea typeface="Arial"/>
              <a:cs typeface="Arial"/>
            </a:rPr>
            <a:t>Cyclobal_Single</a:t>
          </a:r>
          <a:r>
            <a:rPr lang="en-US" cap="none" sz="1000" b="0" i="0" u="none" baseline="0">
              <a:latin typeface="Arial"/>
              <a:ea typeface="Arial"/>
              <a:cs typeface="Arial"/>
            </a:rPr>
            <a:t> routine allows for the calculation of a whole new set of corresponding </a:t>
          </a:r>
          <a:r>
            <a:rPr lang="en-US" cap="none" sz="1000" b="0" i="0" u="sng" baseline="0">
              <a:latin typeface="Arial"/>
              <a:ea typeface="Arial"/>
              <a:cs typeface="Arial"/>
            </a:rPr>
            <a:t>adjusted</a:t>
          </a:r>
          <a:r>
            <a:rPr lang="en-US" cap="none" sz="1000" b="0" i="0" u="none" baseline="0">
              <a:latin typeface="Arial"/>
              <a:ea typeface="Arial"/>
              <a:cs typeface="Arial"/>
            </a:rPr>
            <a:t> or </a:t>
          </a:r>
          <a:r>
            <a:rPr lang="en-US" cap="none" sz="1000" b="0" i="0" u="sng" baseline="0">
              <a:latin typeface="Arial"/>
              <a:ea typeface="Arial"/>
              <a:cs typeface="Arial"/>
            </a:rPr>
            <a:t>fitted</a:t>
          </a:r>
          <a:r>
            <a:rPr lang="en-US" cap="none" sz="1000" b="0" i="0" u="none" baseline="0">
              <a:latin typeface="Arial"/>
              <a:ea typeface="Arial"/>
              <a:cs typeface="Arial"/>
            </a:rPr>
            <a:t> values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F</a:t>
          </a:r>
          <a:r>
            <a:rPr lang="en-US" cap="none" sz="1000" b="0" i="1" u="none" baseline="0">
              <a:latin typeface="Arial"/>
              <a:ea typeface="Arial"/>
              <a:cs typeface="Arial"/>
            </a:rPr>
            <a:t>, f</a:t>
          </a:r>
          <a:r>
            <a:rPr lang="en-US" cap="none" sz="1000" b="0" i="1" u="none" baseline="-25000">
              <a:latin typeface="Arial"/>
              <a:ea typeface="Arial"/>
              <a:cs typeface="Arial"/>
            </a:rPr>
            <a:t>i</a:t>
          </a:r>
          <a:r>
            <a:rPr lang="en-US" cap="none" sz="1000" b="0" i="1" u="none" baseline="30000">
              <a:latin typeface="Arial"/>
              <a:ea typeface="Arial"/>
              <a:cs typeface="Arial"/>
            </a:rPr>
            <a:t>U</a:t>
          </a:r>
          <a:r>
            <a:rPr lang="en-US" cap="none" sz="1000" b="0" i="1" u="none" baseline="0">
              <a:latin typeface="Arial"/>
              <a:ea typeface="Arial"/>
              <a:cs typeface="Arial"/>
            </a:rPr>
            <a:t> and f</a:t>
          </a:r>
          <a:r>
            <a:rPr lang="en-US" cap="none" sz="1000" b="0" i="1" u="none" baseline="-25000">
              <a:latin typeface="Arial"/>
              <a:ea typeface="Arial"/>
              <a:cs typeface="Arial"/>
            </a:rPr>
            <a:t>i</a:t>
          </a:r>
          <a:r>
            <a:rPr lang="en-US" cap="none" sz="1000" b="0" i="1" u="none" baseline="30000">
              <a:latin typeface="Arial"/>
              <a:ea typeface="Arial"/>
              <a:cs typeface="Arial"/>
            </a:rPr>
            <a:t>O</a:t>
          </a:r>
          <a:r>
            <a:rPr lang="en-US" cap="none" sz="1000" b="0" i="0" u="none" baseline="0">
              <a:latin typeface="Arial"/>
              <a:ea typeface="Arial"/>
              <a:cs typeface="Arial"/>
            </a:rPr>
            <a:t>, such that the objective functions :
                                             </a:t>
          </a:r>
          <a:r>
            <a:rPr lang="en-US" cap="none" sz="1000" b="1" i="0" u="none" baseline="0">
              <a:latin typeface="Symbol"/>
              <a:ea typeface="Symbol"/>
              <a:cs typeface="Symbol"/>
            </a:rPr>
            <a:t>f</a:t>
          </a:r>
          <a:r>
            <a:rPr lang="en-US" cap="none" sz="1000" b="1" i="0" u="none" baseline="-25000">
              <a:latin typeface="Arial"/>
              <a:ea typeface="Arial"/>
              <a:cs typeface="Arial"/>
            </a:rPr>
            <a:t>i</a:t>
          </a:r>
          <a:r>
            <a:rPr lang="en-US" cap="none" sz="1000" b="1" i="0" u="none" baseline="0">
              <a:latin typeface="Arial"/>
              <a:ea typeface="Arial"/>
              <a:cs typeface="Arial"/>
            </a:rPr>
            <a:t>  =  [ w</a:t>
          </a:r>
          <a:r>
            <a:rPr lang="en-US" cap="none" sz="1000" b="1" i="0" u="none" baseline="30000">
              <a:latin typeface="Arial"/>
              <a:ea typeface="Arial"/>
              <a:cs typeface="Arial"/>
            </a:rPr>
            <a:t>F</a:t>
          </a:r>
          <a:r>
            <a:rPr lang="en-US" cap="none" sz="1000" b="1" i="0" u="none" baseline="0">
              <a:latin typeface="Arial"/>
              <a:ea typeface="Arial"/>
              <a:cs typeface="Arial"/>
            </a:rPr>
            <a:t> (f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1" i="0"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F</a:t>
          </a:r>
          <a:r>
            <a:rPr lang="en-US" cap="none" sz="1000" b="1" i="0" u="none" baseline="0">
              <a:latin typeface="Arial"/>
              <a:ea typeface="Arial"/>
              <a:cs typeface="Arial"/>
            </a:rPr>
            <a:t>)</a:t>
          </a:r>
          <a:r>
            <a:rPr lang="en-US" cap="none" sz="1000" b="1" i="0" u="none" baseline="30000">
              <a:latin typeface="Arial"/>
              <a:ea typeface="Arial"/>
              <a:cs typeface="Arial"/>
            </a:rPr>
            <a:t>2</a:t>
          </a:r>
          <a:r>
            <a:rPr lang="en-US" cap="none" sz="1000" b="1" i="0" u="none" baseline="0">
              <a:latin typeface="Arial"/>
              <a:ea typeface="Arial"/>
              <a:cs typeface="Arial"/>
            </a:rPr>
            <a:t> + w</a:t>
          </a:r>
          <a:r>
            <a:rPr lang="en-US" cap="none" sz="1000" b="1" i="0" u="none" baseline="30000">
              <a:latin typeface="Arial"/>
              <a:ea typeface="Arial"/>
              <a:cs typeface="Arial"/>
            </a:rPr>
            <a:t>U</a:t>
          </a:r>
          <a:r>
            <a:rPr lang="en-US" cap="none" sz="1000" b="1" i="0" u="none" baseline="0">
              <a:latin typeface="Arial"/>
              <a:ea typeface="Arial"/>
              <a:cs typeface="Arial"/>
            </a:rPr>
            <a:t> (f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1" i="0"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U</a:t>
          </a:r>
          <a:r>
            <a:rPr lang="en-US" cap="none" sz="1000" b="1" i="0" u="none" baseline="0">
              <a:latin typeface="Arial"/>
              <a:ea typeface="Arial"/>
              <a:cs typeface="Arial"/>
            </a:rPr>
            <a:t>)</a:t>
          </a:r>
          <a:r>
            <a:rPr lang="en-US" cap="none" sz="1000" b="1" i="0" u="none" baseline="30000">
              <a:latin typeface="Arial"/>
              <a:ea typeface="Arial"/>
              <a:cs typeface="Arial"/>
            </a:rPr>
            <a:t>2</a:t>
          </a:r>
          <a:r>
            <a:rPr lang="en-US" cap="none" sz="1000" b="1" i="0" u="none" baseline="0">
              <a:latin typeface="Arial"/>
              <a:ea typeface="Arial"/>
              <a:cs typeface="Arial"/>
            </a:rPr>
            <a:t> + w</a:t>
          </a:r>
          <a:r>
            <a:rPr lang="en-US" cap="none" sz="1000" b="1" i="0" u="none" baseline="30000">
              <a:latin typeface="Arial"/>
              <a:ea typeface="Arial"/>
              <a:cs typeface="Arial"/>
            </a:rPr>
            <a:t>O</a:t>
          </a:r>
          <a:r>
            <a:rPr lang="en-US" cap="none" sz="1000" b="1" i="0" u="none" baseline="0">
              <a:latin typeface="Arial"/>
              <a:ea typeface="Arial"/>
              <a:cs typeface="Arial"/>
            </a:rPr>
            <a:t>(f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1" i="0"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O</a:t>
          </a:r>
          <a:r>
            <a:rPr lang="en-US" cap="none" sz="1000" b="1" i="0" u="none" baseline="0">
              <a:latin typeface="Arial"/>
              <a:ea typeface="Arial"/>
              <a:cs typeface="Arial"/>
            </a:rPr>
            <a:t>)</a:t>
          </a:r>
          <a:r>
            <a:rPr lang="en-US" cap="none" sz="1000" b="1" i="0" u="none" baseline="30000">
              <a:latin typeface="Arial"/>
              <a:ea typeface="Arial"/>
              <a:cs typeface="Arial"/>
            </a:rPr>
            <a:t>2</a:t>
          </a:r>
          <a:r>
            <a:rPr lang="en-US" cap="none" sz="1000" b="1" i="0" u="none" baseline="0">
              <a:latin typeface="Arial"/>
              <a:ea typeface="Arial"/>
              <a:cs typeface="Arial"/>
            </a:rPr>
            <a:t> ]</a:t>
          </a:r>
          <a:r>
            <a:rPr lang="en-US" cap="none" sz="1000" b="0" i="0" u="none" baseline="0">
              <a:latin typeface="Arial"/>
              <a:ea typeface="Arial"/>
              <a:cs typeface="Arial"/>
            </a:rPr>
            <a:t>      ,for every particle size d</a:t>
          </a:r>
          <a:r>
            <a:rPr lang="en-US" cap="none" sz="1000" b="0" i="0" u="none" baseline="-25000">
              <a:latin typeface="Arial"/>
              <a:ea typeface="Arial"/>
              <a:cs typeface="Arial"/>
            </a:rPr>
            <a:t>i</a:t>
          </a:r>
          <a:r>
            <a:rPr lang="en-US" cap="none" sz="1000" b="0" i="0" u="none" baseline="0">
              <a:latin typeface="Arial"/>
              <a:ea typeface="Arial"/>
              <a:cs typeface="Arial"/>
            </a:rPr>
            <a:t>
are minimized and the adjusted values so generated strictly satisfy the mass balance restrictions :
                                                                     </a:t>
          </a:r>
          <a:r>
            <a:rPr lang="en-US" cap="none" sz="1000" b="1" i="1" u="none" baseline="0">
              <a:latin typeface="Arial"/>
              <a:ea typeface="Arial"/>
              <a:cs typeface="Arial"/>
            </a:rPr>
            <a:t>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F</a:t>
          </a:r>
          <a:r>
            <a:rPr lang="en-US" cap="none" sz="1000" b="0" i="1" u="none" baseline="0">
              <a:latin typeface="Arial"/>
              <a:ea typeface="Arial"/>
              <a:cs typeface="Arial"/>
            </a:rPr>
            <a:t> F</a:t>
          </a:r>
          <a:r>
            <a:rPr lang="en-US" cap="none" sz="1000" b="1" i="1"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U</a:t>
          </a:r>
          <a:r>
            <a:rPr lang="en-US" cap="none" sz="1000" b="0" i="1" u="none" baseline="0">
              <a:latin typeface="Arial"/>
              <a:ea typeface="Arial"/>
              <a:cs typeface="Arial"/>
            </a:rPr>
            <a:t> U</a:t>
          </a:r>
          <a:r>
            <a:rPr lang="en-US" cap="none" sz="1000" b="1" i="1"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O</a:t>
          </a:r>
          <a:r>
            <a:rPr lang="en-US" cap="none" sz="1000" b="0" i="1" u="none" baseline="0">
              <a:latin typeface="Arial"/>
              <a:ea typeface="Arial"/>
              <a:cs typeface="Arial"/>
            </a:rPr>
            <a:t> O</a:t>
          </a:r>
          <a:r>
            <a:rPr lang="en-US" cap="none" sz="1000" b="0" i="0" u="none" baseline="0">
              <a:latin typeface="Arial"/>
              <a:ea typeface="Arial"/>
              <a:cs typeface="Arial"/>
            </a:rPr>
            <a:t>              , for i = 1,n
where </a:t>
          </a:r>
          <a:r>
            <a:rPr lang="en-US" cap="none" sz="1000" b="1" i="0" u="none" baseline="0">
              <a:latin typeface="Arial"/>
              <a:ea typeface="Arial"/>
              <a:cs typeface="Arial"/>
            </a:rPr>
            <a:t>w</a:t>
          </a:r>
          <a:r>
            <a:rPr lang="en-US" cap="none" sz="1000" b="1" i="0" u="none" baseline="30000">
              <a:latin typeface="Arial"/>
              <a:ea typeface="Arial"/>
              <a:cs typeface="Arial"/>
            </a:rPr>
            <a:t>F</a:t>
          </a:r>
          <a:r>
            <a:rPr lang="en-US" cap="none" sz="1000" b="0" i="0" u="none" baseline="0">
              <a:latin typeface="Arial"/>
              <a:ea typeface="Arial"/>
              <a:cs typeface="Arial"/>
            </a:rPr>
            <a:t>, </a:t>
          </a:r>
          <a:r>
            <a:rPr lang="en-US" cap="none" sz="1000" b="1" i="0" u="none" baseline="0">
              <a:latin typeface="Arial"/>
              <a:ea typeface="Arial"/>
              <a:cs typeface="Arial"/>
            </a:rPr>
            <a:t>w</a:t>
          </a:r>
          <a:r>
            <a:rPr lang="en-US" cap="none" sz="1000" b="1" i="0" u="none" baseline="30000">
              <a:latin typeface="Arial"/>
              <a:ea typeface="Arial"/>
              <a:cs typeface="Arial"/>
            </a:rPr>
            <a:t>U</a:t>
          </a:r>
          <a:r>
            <a:rPr lang="en-US" cap="none" sz="1000" b="0" i="0" u="none" baseline="0">
              <a:latin typeface="Arial"/>
              <a:ea typeface="Arial"/>
              <a:cs typeface="Arial"/>
            </a:rPr>
            <a:t> and </a:t>
          </a:r>
          <a:r>
            <a:rPr lang="en-US" cap="none" sz="1000" b="1" i="0" u="none" baseline="0">
              <a:latin typeface="Arial"/>
              <a:ea typeface="Arial"/>
              <a:cs typeface="Arial"/>
            </a:rPr>
            <a:t>w</a:t>
          </a:r>
          <a:r>
            <a:rPr lang="en-US" cap="none" sz="1000" b="1" i="0" u="none" baseline="30000">
              <a:latin typeface="Arial"/>
              <a:ea typeface="Arial"/>
              <a:cs typeface="Arial"/>
            </a:rPr>
            <a:t>O</a:t>
          </a:r>
          <a:r>
            <a:rPr lang="en-US" cap="none" sz="1000" b="0" i="0" u="none" baseline="0">
              <a:latin typeface="Arial"/>
              <a:ea typeface="Arial"/>
              <a:cs typeface="Arial"/>
            </a:rPr>
            <a:t> are user defined </a:t>
          </a:r>
          <a:r>
            <a:rPr lang="en-US" cap="none" sz="1000" b="0" i="0" u="sng" baseline="0">
              <a:latin typeface="Arial"/>
              <a:ea typeface="Arial"/>
              <a:cs typeface="Arial"/>
            </a:rPr>
            <a:t>weighting factors</a:t>
          </a:r>
          <a:r>
            <a:rPr lang="en-US" cap="none" sz="1000" b="0" i="0" u="none" baseline="0">
              <a:latin typeface="Arial"/>
              <a:ea typeface="Arial"/>
              <a:cs typeface="Arial"/>
            </a:rPr>
            <a:t> included to represent the relative quality and reliability of the samples from each of the 3 streams and the mass flowrates </a:t>
          </a:r>
          <a:r>
            <a:rPr lang="en-US" cap="none" sz="1000" b="0" i="1" u="none" baseline="0">
              <a:latin typeface="Arial"/>
              <a:ea typeface="Arial"/>
              <a:cs typeface="Arial"/>
            </a:rPr>
            <a:t>F</a:t>
          </a:r>
          <a:r>
            <a:rPr lang="en-US" cap="none" sz="1000" b="0" i="0" u="none" baseline="0">
              <a:latin typeface="Arial"/>
              <a:ea typeface="Arial"/>
              <a:cs typeface="Arial"/>
            </a:rPr>
            <a:t>, </a:t>
          </a:r>
          <a:r>
            <a:rPr lang="en-US" cap="none" sz="1000" b="0" i="1" u="none" baseline="0">
              <a:latin typeface="Arial"/>
              <a:ea typeface="Arial"/>
              <a:cs typeface="Arial"/>
            </a:rPr>
            <a:t>U</a:t>
          </a:r>
          <a:r>
            <a:rPr lang="en-US" cap="none" sz="1000" b="0" i="0" u="none" baseline="0">
              <a:latin typeface="Arial"/>
              <a:ea typeface="Arial"/>
              <a:cs typeface="Arial"/>
            </a:rPr>
            <a:t> and </a:t>
          </a:r>
          <a:r>
            <a:rPr lang="en-US" cap="none" sz="1000" b="0" i="1" u="none" baseline="0">
              <a:latin typeface="Arial"/>
              <a:ea typeface="Arial"/>
              <a:cs typeface="Arial"/>
            </a:rPr>
            <a:t>O</a:t>
          </a:r>
          <a:r>
            <a:rPr lang="en-US" cap="none" sz="1000" b="0" i="0" u="none" baseline="0">
              <a:latin typeface="Arial"/>
              <a:ea typeface="Arial"/>
              <a:cs typeface="Arial"/>
            </a:rPr>
            <a:t> are calculated as :
                                                                      </a:t>
          </a:r>
          <a:r>
            <a:rPr lang="en-US" cap="none" sz="1000" b="0" i="1" u="none" baseline="0">
              <a:latin typeface="Arial"/>
              <a:ea typeface="Arial"/>
              <a:cs typeface="Arial"/>
            </a:rPr>
            <a:t>F</a:t>
          </a:r>
          <a:r>
            <a:rPr lang="en-US" cap="none" sz="1000" b="1" i="0" u="none" baseline="0">
              <a:latin typeface="Arial"/>
              <a:ea typeface="Arial"/>
              <a:cs typeface="Arial"/>
            </a:rPr>
            <a:t>  =  F
                                                                      </a:t>
          </a:r>
          <a:r>
            <a:rPr lang="en-US" cap="none" sz="1000" b="0" i="1" u="none" baseline="0">
              <a:latin typeface="Arial"/>
              <a:ea typeface="Arial"/>
              <a:cs typeface="Arial"/>
            </a:rPr>
            <a:t>U</a:t>
          </a:r>
          <a:r>
            <a:rPr lang="en-US" cap="none" sz="1000" b="1" i="0" u="none" baseline="0">
              <a:latin typeface="Arial"/>
              <a:ea typeface="Arial"/>
              <a:cs typeface="Arial"/>
            </a:rPr>
            <a:t>  =  F [CL / (1 + CL)]
                                                                      </a:t>
          </a:r>
          <a:r>
            <a:rPr lang="en-US" cap="none" sz="1000" b="0" i="1" u="none" baseline="0">
              <a:latin typeface="Arial"/>
              <a:ea typeface="Arial"/>
              <a:cs typeface="Arial"/>
            </a:rPr>
            <a:t>O</a:t>
          </a:r>
          <a:r>
            <a:rPr lang="en-US" cap="none" sz="1000" b="1" i="0" u="none" baseline="0">
              <a:latin typeface="Arial"/>
              <a:ea typeface="Arial"/>
              <a:cs typeface="Arial"/>
            </a:rPr>
            <a:t>  =  F / (1 + CL)</a:t>
          </a:r>
          <a:r>
            <a:rPr lang="en-US" cap="none" sz="1000" b="0" i="0" u="none" baseline="0">
              <a:latin typeface="Arial"/>
              <a:ea typeface="Arial"/>
              <a:cs typeface="Arial"/>
            </a:rPr>
            <a:t>
and the </a:t>
          </a:r>
          <a:r>
            <a:rPr lang="en-US" cap="none" sz="1000" b="1" i="0" u="none" baseline="0">
              <a:latin typeface="Arial"/>
              <a:ea typeface="Arial"/>
              <a:cs typeface="Arial"/>
            </a:rPr>
            <a:t>Circulating Load CL</a:t>
          </a:r>
          <a:r>
            <a:rPr lang="en-US" cap="none" sz="1000" b="0" i="0" u="none" baseline="0">
              <a:latin typeface="Arial"/>
              <a:ea typeface="Arial"/>
              <a:cs typeface="Arial"/>
            </a:rPr>
            <a:t> is estimated from :
                      </a:t>
          </a:r>
          <a:r>
            <a:rPr lang="en-US" cap="none" sz="1000" b="1" i="0" u="none" baseline="0">
              <a:latin typeface="Arial"/>
              <a:ea typeface="Arial"/>
              <a:cs typeface="Arial"/>
            </a:rPr>
            <a:t>CL = { u</a:t>
          </a:r>
          <a:r>
            <a:rPr lang="en-US" cap="none" sz="1000" b="1" i="0" u="none" baseline="30000">
              <a:latin typeface="Arial"/>
              <a:ea typeface="Arial"/>
              <a:cs typeface="Arial"/>
            </a:rPr>
            <a:t>sd</a:t>
          </a:r>
          <a:r>
            <a:rPr lang="en-US" cap="none" sz="1000" b="1" i="0" u="none" baseline="0">
              <a:latin typeface="Arial"/>
              <a:ea typeface="Arial"/>
              <a:cs typeface="Arial"/>
            </a:rPr>
            <a:t>  </a:t>
          </a:r>
          <a:r>
            <a:rPr lang="en-US" cap="none" sz="1600" b="1" i="0" u="none" baseline="0">
              <a:latin typeface="Symbol"/>
              <a:ea typeface="Symbol"/>
              <a:cs typeface="Symbol"/>
            </a:rPr>
            <a:t>S</a:t>
          </a:r>
          <a:r>
            <a:rPr lang="en-US" cap="none" sz="1000" b="1" i="0" u="none" baseline="0">
              <a:latin typeface="Arial"/>
              <a:ea typeface="Arial"/>
              <a:cs typeface="Arial"/>
            </a:rPr>
            <a:t>  [(f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1" i="0" u="none" baseline="0">
              <a:latin typeface="Arial"/>
              <a:ea typeface="Arial"/>
              <a:cs typeface="Arial"/>
            </a:rPr>
            <a:t>)]  +  u</a:t>
          </a:r>
          <a:r>
            <a:rPr lang="en-US" cap="none" sz="1000" b="1" i="0" u="none" baseline="30000">
              <a:latin typeface="Arial"/>
              <a:ea typeface="Arial"/>
              <a:cs typeface="Arial"/>
            </a:rPr>
            <a:t>fs </a:t>
          </a:r>
          <a:r>
            <a:rPr lang="en-US" cap="none" sz="1000" b="1" i="0" u="none" baseline="0">
              <a:latin typeface="Arial"/>
              <a:ea typeface="Arial"/>
              <a:cs typeface="Arial"/>
            </a:rPr>
            <a:t>(1/f</a:t>
          </a:r>
          <a:r>
            <a:rPr lang="en-US" cap="none" sz="1000" b="1" i="0" u="none" baseline="-25000">
              <a:latin typeface="Arial"/>
              <a:ea typeface="Arial"/>
              <a:cs typeface="Arial"/>
            </a:rPr>
            <a:t>S</a:t>
          </a:r>
          <a:r>
            <a:rPr lang="en-US" cap="none" sz="1000" b="1" i="0" u="none" baseline="30000">
              <a:latin typeface="Arial"/>
              <a:ea typeface="Arial"/>
              <a:cs typeface="Arial"/>
            </a:rPr>
            <a:t>O</a:t>
          </a:r>
          <a:r>
            <a:rPr lang="en-US" cap="none" sz="1000" b="1" i="0" u="none" baseline="0">
              <a:latin typeface="Arial"/>
              <a:ea typeface="Arial"/>
              <a:cs typeface="Arial"/>
            </a:rPr>
            <a:t> - 1/f</a:t>
          </a:r>
          <a:r>
            <a:rPr lang="en-US" cap="none" sz="1000" b="1" i="0" u="none" baseline="-25000">
              <a:latin typeface="Arial"/>
              <a:ea typeface="Arial"/>
              <a:cs typeface="Arial"/>
            </a:rPr>
            <a:t>S</a:t>
          </a:r>
          <a:r>
            <a:rPr lang="en-US" cap="none" sz="1000" b="1" i="0" u="none" baseline="30000">
              <a:latin typeface="Arial"/>
              <a:ea typeface="Arial"/>
              <a:cs typeface="Arial"/>
            </a:rPr>
            <a:t>F</a:t>
          </a:r>
          <a:r>
            <a:rPr lang="en-US" cap="none" sz="1000" b="1" i="0" u="none" baseline="0">
              <a:latin typeface="Arial"/>
              <a:ea typeface="Arial"/>
              <a:cs typeface="Arial"/>
            </a:rPr>
            <a:t>) / (1/f</a:t>
          </a:r>
          <a:r>
            <a:rPr lang="en-US" cap="none" sz="1000" b="1" i="0" u="none" baseline="-25000">
              <a:latin typeface="Arial"/>
              <a:ea typeface="Arial"/>
              <a:cs typeface="Arial"/>
            </a:rPr>
            <a:t>S</a:t>
          </a:r>
          <a:r>
            <a:rPr lang="en-US" cap="none" sz="1000" b="1" i="0" u="none" baseline="30000">
              <a:latin typeface="Arial"/>
              <a:ea typeface="Arial"/>
              <a:cs typeface="Arial"/>
            </a:rPr>
            <a:t>F </a:t>
          </a:r>
          <a:r>
            <a:rPr lang="en-US" cap="none" sz="1000" b="1" i="0" u="none" baseline="0">
              <a:latin typeface="Arial"/>
              <a:ea typeface="Arial"/>
              <a:cs typeface="Arial"/>
            </a:rPr>
            <a:t>-1/f</a:t>
          </a:r>
          <a:r>
            <a:rPr lang="en-US" cap="none" sz="1000" b="1" i="0" u="none" baseline="-25000">
              <a:latin typeface="Arial"/>
              <a:ea typeface="Arial"/>
              <a:cs typeface="Arial"/>
            </a:rPr>
            <a:t>S</a:t>
          </a:r>
          <a:r>
            <a:rPr lang="en-US" cap="none" sz="1000" b="1" i="0" u="none" baseline="30000">
              <a:latin typeface="Arial"/>
              <a:ea typeface="Arial"/>
              <a:cs typeface="Arial"/>
            </a:rPr>
            <a:t>U</a:t>
          </a:r>
          <a:r>
            <a:rPr lang="en-US" cap="none" sz="1000" b="1" i="0" u="none" baseline="0">
              <a:latin typeface="Arial"/>
              <a:ea typeface="Arial"/>
              <a:cs typeface="Arial"/>
            </a:rPr>
            <a:t>) } / (u</a:t>
          </a:r>
          <a:r>
            <a:rPr lang="en-US" cap="none" sz="1000" b="1" i="0" u="none" baseline="30000">
              <a:latin typeface="Arial"/>
              <a:ea typeface="Arial"/>
              <a:cs typeface="Arial"/>
            </a:rPr>
            <a:t>sd</a:t>
          </a:r>
          <a:r>
            <a:rPr lang="en-US" cap="none" sz="1000" b="1" i="0" u="none" baseline="0">
              <a:latin typeface="Arial"/>
              <a:ea typeface="Arial"/>
              <a:cs typeface="Arial"/>
            </a:rPr>
            <a:t> + u</a:t>
          </a:r>
          <a:r>
            <a:rPr lang="en-US" cap="none" sz="1000" b="1" i="0" u="none" baseline="30000">
              <a:latin typeface="Arial"/>
              <a:ea typeface="Arial"/>
              <a:cs typeface="Arial"/>
            </a:rPr>
            <a:t>fs</a:t>
          </a:r>
          <a:r>
            <a:rPr lang="en-US" cap="none" sz="1000" b="1" i="0" u="none" baseline="0">
              <a:latin typeface="Arial"/>
              <a:ea typeface="Arial"/>
              <a:cs typeface="Arial"/>
            </a:rPr>
            <a:t>)</a:t>
          </a:r>
          <a:r>
            <a:rPr lang="en-US" cap="none" sz="1000" b="0" i="0" u="none" baseline="0">
              <a:latin typeface="Arial"/>
              <a:ea typeface="Arial"/>
              <a:cs typeface="Arial"/>
            </a:rPr>
            <a:t>
                                       </a:t>
          </a:r>
          <a:r>
            <a:rPr lang="en-US" cap="none" sz="1000" b="0" i="0" u="none" baseline="30000">
              <a:latin typeface="Arial"/>
              <a:ea typeface="Arial"/>
              <a:cs typeface="Arial"/>
            </a:rPr>
            <a:t>all i</a:t>
          </a:r>
          <a:r>
            <a:rPr lang="en-US" cap="none" sz="1000" b="0" i="0" u="none" baseline="0">
              <a:latin typeface="Arial"/>
              <a:ea typeface="Arial"/>
              <a:cs typeface="Arial"/>
            </a:rPr>
            <a:t>
where </a:t>
          </a:r>
          <a:r>
            <a:rPr lang="en-US" cap="none" sz="1000" b="1" i="0" u="none" baseline="0">
              <a:latin typeface="Arial"/>
              <a:ea typeface="Arial"/>
              <a:cs typeface="Arial"/>
            </a:rPr>
            <a:t>f</a:t>
          </a:r>
          <a:r>
            <a:rPr lang="en-US" cap="none" sz="1000" b="1" i="0" u="none" baseline="-25000">
              <a:latin typeface="Arial"/>
              <a:ea typeface="Arial"/>
              <a:cs typeface="Arial"/>
            </a:rPr>
            <a:t>s</a:t>
          </a:r>
          <a:r>
            <a:rPr lang="en-US" cap="none" sz="1000" b="1" i="0" u="none" baseline="30000">
              <a:latin typeface="Arial"/>
              <a:ea typeface="Arial"/>
              <a:cs typeface="Arial"/>
            </a:rPr>
            <a:t>F</a:t>
          </a:r>
          <a:r>
            <a:rPr lang="en-US" cap="none" sz="1000" b="0" i="0" u="none" baseline="0">
              <a:latin typeface="Arial"/>
              <a:ea typeface="Arial"/>
              <a:cs typeface="Arial"/>
            </a:rPr>
            <a:t>, </a:t>
          </a:r>
          <a:r>
            <a:rPr lang="en-US" cap="none" sz="1000" b="1" i="0" u="none" baseline="0">
              <a:latin typeface="Arial"/>
              <a:ea typeface="Arial"/>
              <a:cs typeface="Arial"/>
            </a:rPr>
            <a:t>f</a:t>
          </a:r>
          <a:r>
            <a:rPr lang="en-US" cap="none" sz="1000" b="1" i="0" u="none" baseline="-25000">
              <a:latin typeface="Arial"/>
              <a:ea typeface="Arial"/>
              <a:cs typeface="Arial"/>
            </a:rPr>
            <a:t>s</a:t>
          </a:r>
          <a:r>
            <a:rPr lang="en-US" cap="none" sz="1000" b="1" i="0" u="none" baseline="30000">
              <a:latin typeface="Arial"/>
              <a:ea typeface="Arial"/>
              <a:cs typeface="Arial"/>
            </a:rPr>
            <a:t>U</a:t>
          </a:r>
          <a:r>
            <a:rPr lang="en-US" cap="none" sz="1000" b="0" i="0" u="none" baseline="0">
              <a:latin typeface="Arial"/>
              <a:ea typeface="Arial"/>
              <a:cs typeface="Arial"/>
            </a:rPr>
            <a:t> and </a:t>
          </a:r>
          <a:r>
            <a:rPr lang="en-US" cap="none" sz="1000" b="1" i="0" u="none" baseline="0">
              <a:latin typeface="Arial"/>
              <a:ea typeface="Arial"/>
              <a:cs typeface="Arial"/>
            </a:rPr>
            <a:t>f</a:t>
          </a:r>
          <a:r>
            <a:rPr lang="en-US" cap="none" sz="1000" b="1" i="0" u="none" baseline="-25000">
              <a:latin typeface="Arial"/>
              <a:ea typeface="Arial"/>
              <a:cs typeface="Arial"/>
            </a:rPr>
            <a:t>s</a:t>
          </a:r>
          <a:r>
            <a:rPr lang="en-US" cap="none" sz="1000" b="1" i="0" u="none" baseline="30000">
              <a:latin typeface="Arial"/>
              <a:ea typeface="Arial"/>
              <a:cs typeface="Arial"/>
            </a:rPr>
            <a:t>O</a:t>
          </a:r>
          <a:r>
            <a:rPr lang="en-US" cap="none" sz="1000" b="0" i="0" u="none" baseline="0">
              <a:latin typeface="Arial"/>
              <a:ea typeface="Arial"/>
              <a:cs typeface="Arial"/>
            </a:rPr>
            <a:t> are the weight fractions of total solids in the feed, underflow and overflow streams, respectively, and also </a:t>
          </a:r>
          <a:r>
            <a:rPr lang="en-US" cap="none" sz="1000" b="1" i="0" u="none" baseline="0">
              <a:latin typeface="Arial"/>
              <a:ea typeface="Arial"/>
              <a:cs typeface="Arial"/>
            </a:rPr>
            <a:t>u</a:t>
          </a:r>
          <a:r>
            <a:rPr lang="en-US" cap="none" sz="1000" b="1" i="0" u="none" baseline="30000">
              <a:latin typeface="Arial"/>
              <a:ea typeface="Arial"/>
              <a:cs typeface="Arial"/>
            </a:rPr>
            <a:t>sd</a:t>
          </a:r>
          <a:r>
            <a:rPr lang="en-US" cap="none" sz="1000" b="0" i="0" u="none" baseline="0">
              <a:latin typeface="Arial"/>
              <a:ea typeface="Arial"/>
              <a:cs typeface="Arial"/>
            </a:rPr>
            <a:t> and </a:t>
          </a:r>
          <a:r>
            <a:rPr lang="en-US" cap="none" sz="1000" b="1" i="0" u="none" baseline="0">
              <a:latin typeface="Arial"/>
              <a:ea typeface="Arial"/>
              <a:cs typeface="Arial"/>
            </a:rPr>
            <a:t>u</a:t>
          </a:r>
          <a:r>
            <a:rPr lang="en-US" cap="none" sz="1000" b="1" i="0" u="none" baseline="30000">
              <a:latin typeface="Arial"/>
              <a:ea typeface="Arial"/>
              <a:cs typeface="Arial"/>
            </a:rPr>
            <a:t>fs</a:t>
          </a:r>
          <a:r>
            <a:rPr lang="en-US" cap="none" sz="1000" b="0" i="0" u="none" baseline="0">
              <a:latin typeface="Arial"/>
              <a:ea typeface="Arial"/>
              <a:cs typeface="Arial"/>
            </a:rPr>
            <a:t> are user defined </a:t>
          </a:r>
          <a:r>
            <a:rPr lang="en-US" cap="none" sz="1000" b="0" i="0" u="sng" baseline="0">
              <a:latin typeface="Arial"/>
              <a:ea typeface="Arial"/>
              <a:cs typeface="Arial"/>
            </a:rPr>
            <a:t>weighting factors</a:t>
          </a:r>
          <a:r>
            <a:rPr lang="en-US" cap="none" sz="1000" b="0" i="0" u="none" baseline="0">
              <a:latin typeface="Arial"/>
              <a:ea typeface="Arial"/>
              <a:cs typeface="Arial"/>
            </a:rPr>
            <a:t> included to represent the relative quality and reliability of the size distribution measurements vs. the percent solids measurements in all 3 streams. In general, a high relative value of a weighting factor is indicative of a more reliable measurement with respect to the other measurements participating in the same equations. A statistically sound weighting factor may be calculated as 100/(% error)</a:t>
          </a:r>
          <a:r>
            <a:rPr lang="en-US" cap="none" sz="1000" b="0" i="0" u="none" baseline="30000">
              <a:latin typeface="Arial"/>
              <a:ea typeface="Arial"/>
              <a:cs typeface="Arial"/>
            </a:rPr>
            <a:t>2</a:t>
          </a:r>
          <a:r>
            <a:rPr lang="en-US" cap="none" sz="1000" b="0" i="0" u="none" baseline="0">
              <a:latin typeface="Arial"/>
              <a:ea typeface="Arial"/>
              <a:cs typeface="Arial"/>
            </a:rPr>
            <a:t>; where (% error) corresponds to the combined sampling and measuring error percentage.
</a:t>
          </a:r>
          <a:r>
            <a:rPr lang="en-US" cap="none" sz="1000" b="1" i="0" u="none" baseline="0">
              <a:latin typeface="Arial"/>
              <a:ea typeface="Arial"/>
              <a:cs typeface="Arial"/>
            </a:rPr>
            <a:t/>
          </a:r>
        </a:p>
      </xdr:txBody>
    </xdr:sp>
    <xdr:clientData/>
  </xdr:twoCellAnchor>
  <xdr:twoCellAnchor>
    <xdr:from>
      <xdr:col>1</xdr:col>
      <xdr:colOff>9525</xdr:colOff>
      <xdr:row>55</xdr:row>
      <xdr:rowOff>9525</xdr:rowOff>
    </xdr:from>
    <xdr:to>
      <xdr:col>12</xdr:col>
      <xdr:colOff>9525</xdr:colOff>
      <xdr:row>105</xdr:row>
      <xdr:rowOff>152400</xdr:rowOff>
    </xdr:to>
    <xdr:sp>
      <xdr:nvSpPr>
        <xdr:cNvPr id="2" name="TextBox 2"/>
        <xdr:cNvSpPr txBox="1">
          <a:spLocks noChangeArrowheads="1"/>
        </xdr:cNvSpPr>
      </xdr:nvSpPr>
      <xdr:spPr>
        <a:xfrm>
          <a:off x="123825" y="8915400"/>
          <a:ext cx="6705600" cy="8239125"/>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0" i="0" u="none" baseline="0">
              <a:latin typeface="Arial"/>
              <a:ea typeface="Arial"/>
              <a:cs typeface="Arial"/>
            </a:rPr>
            <a:t>The least-square minimization problem stated above may be linearized and solved through the </a:t>
          </a:r>
          <a:r>
            <a:rPr lang="en-US" cap="none" sz="1000" b="1" i="0" u="none" baseline="0">
              <a:latin typeface="Arial"/>
              <a:ea typeface="Arial"/>
              <a:cs typeface="Arial"/>
            </a:rPr>
            <a:t>Lagrange Multipliers Method</a:t>
          </a:r>
          <a:r>
            <a:rPr lang="en-US" cap="none" sz="1000" b="0" i="0" u="none" baseline="0">
              <a:latin typeface="Arial"/>
              <a:ea typeface="Arial"/>
              <a:cs typeface="Arial"/>
            </a:rPr>
            <a:t> to obtain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F</a:t>
          </a:r>
          <a:r>
            <a:rPr lang="en-US" cap="none" sz="1000" b="0" i="1" u="none" baseline="0">
              <a:latin typeface="Arial"/>
              <a:ea typeface="Arial"/>
              <a:cs typeface="Arial"/>
            </a:rPr>
            <a:t> F</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1" i="0" u="none" baseline="0">
              <a:latin typeface="Arial"/>
              <a:ea typeface="Arial"/>
              <a:cs typeface="Arial"/>
            </a:rPr>
            <a:t> </a:t>
          </a:r>
          <a:r>
            <a:rPr lang="en-US" cap="none" sz="1000" b="0" i="1" u="none" baseline="0">
              <a:latin typeface="Arial"/>
              <a:ea typeface="Arial"/>
              <a:cs typeface="Arial"/>
            </a:rPr>
            <a:t>F</a:t>
          </a:r>
          <a:r>
            <a:rPr lang="en-US" cap="none" sz="1000" b="1" i="0" u="none" baseline="0">
              <a:latin typeface="Arial"/>
              <a:ea typeface="Arial"/>
              <a:cs typeface="Arial"/>
            </a:rPr>
            <a:t> - </a:t>
          </a:r>
          <a:r>
            <a:rPr lang="en-US" cap="none" sz="1000" b="1" i="0" u="none" baseline="0">
              <a:latin typeface="Symbol"/>
              <a:ea typeface="Symbol"/>
              <a:cs typeface="Symbol"/>
            </a:rPr>
            <a:t>l</a:t>
          </a:r>
          <a:r>
            <a:rPr lang="en-US" cap="none" sz="1000" b="1" i="0" u="none" baseline="0">
              <a:latin typeface="Arial"/>
              <a:ea typeface="Arial"/>
              <a:cs typeface="Arial"/>
            </a:rPr>
            <a:t>/w</a:t>
          </a:r>
          <a:r>
            <a:rPr lang="en-US" cap="none" sz="1000" b="1" i="0" u="none" baseline="30000">
              <a:latin typeface="Arial"/>
              <a:ea typeface="Arial"/>
              <a:cs typeface="Arial"/>
            </a:rPr>
            <a:t>F</a:t>
          </a:r>
          <a:r>
            <a:rPr lang="en-US" cap="none" sz="1000" b="1" i="0" u="none" baseline="0">
              <a:latin typeface="Arial"/>
              <a:ea typeface="Arial"/>
              <a:cs typeface="Arial"/>
            </a:rPr>
            <a:t>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U</a:t>
          </a:r>
          <a:r>
            <a:rPr lang="en-US" cap="none" sz="1000" b="1" i="1" u="none" baseline="0">
              <a:latin typeface="Arial"/>
              <a:ea typeface="Arial"/>
              <a:cs typeface="Arial"/>
            </a:rPr>
            <a:t> </a:t>
          </a:r>
          <a:r>
            <a:rPr lang="en-US" cap="none" sz="1000" b="0" i="1" u="none" baseline="0">
              <a:latin typeface="Arial"/>
              <a:ea typeface="Arial"/>
              <a:cs typeface="Arial"/>
            </a:rPr>
            <a:t>U</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1" i="0" u="none" baseline="0">
              <a:latin typeface="Arial"/>
              <a:ea typeface="Arial"/>
              <a:cs typeface="Arial"/>
            </a:rPr>
            <a:t> </a:t>
          </a:r>
          <a:r>
            <a:rPr lang="en-US" cap="none" sz="1000" b="0" i="1" u="none" baseline="0">
              <a:latin typeface="Arial"/>
              <a:ea typeface="Arial"/>
              <a:cs typeface="Arial"/>
            </a:rPr>
            <a:t>U</a:t>
          </a:r>
          <a:r>
            <a:rPr lang="en-US" cap="none" sz="1000" b="1" i="0" u="none" baseline="0">
              <a:latin typeface="Arial"/>
              <a:ea typeface="Arial"/>
              <a:cs typeface="Arial"/>
            </a:rPr>
            <a:t> + </a:t>
          </a:r>
          <a:r>
            <a:rPr lang="en-US" cap="none" sz="1000" b="1" i="0" u="none" baseline="0">
              <a:latin typeface="Symbol"/>
              <a:ea typeface="Symbol"/>
              <a:cs typeface="Symbol"/>
            </a:rPr>
            <a:t>l</a:t>
          </a:r>
          <a:r>
            <a:rPr lang="en-US" cap="none" sz="1000" b="1" i="0" u="none" baseline="0">
              <a:latin typeface="Arial"/>
              <a:ea typeface="Arial"/>
              <a:cs typeface="Arial"/>
            </a:rPr>
            <a:t>/w</a:t>
          </a:r>
          <a:r>
            <a:rPr lang="en-US" cap="none" sz="1000" b="1" i="0" u="none" baseline="30000">
              <a:latin typeface="Arial"/>
              <a:ea typeface="Arial"/>
              <a:cs typeface="Arial"/>
            </a:rPr>
            <a:t>U</a:t>
          </a:r>
          <a:r>
            <a:rPr lang="en-US" cap="none" sz="1000" b="1" i="0" u="none" baseline="0">
              <a:latin typeface="Arial"/>
              <a:ea typeface="Arial"/>
              <a:cs typeface="Arial"/>
            </a:rPr>
            <a:t>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O</a:t>
          </a:r>
          <a:r>
            <a:rPr lang="en-US" cap="none" sz="1000" b="0" i="1" u="none" baseline="0">
              <a:latin typeface="Arial"/>
              <a:ea typeface="Arial"/>
              <a:cs typeface="Arial"/>
            </a:rPr>
            <a:t> O</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1" i="0" u="none" baseline="0">
              <a:latin typeface="Arial"/>
              <a:ea typeface="Arial"/>
              <a:cs typeface="Arial"/>
            </a:rPr>
            <a:t> </a:t>
          </a:r>
          <a:r>
            <a:rPr lang="en-US" cap="none" sz="1000" b="0" i="1" u="none" baseline="0">
              <a:latin typeface="Arial"/>
              <a:ea typeface="Arial"/>
              <a:cs typeface="Arial"/>
            </a:rPr>
            <a:t>O</a:t>
          </a:r>
          <a:r>
            <a:rPr lang="en-US" cap="none" sz="1000" b="1" i="0" u="none" baseline="0">
              <a:latin typeface="Arial"/>
              <a:ea typeface="Arial"/>
              <a:cs typeface="Arial"/>
            </a:rPr>
            <a:t> + </a:t>
          </a:r>
          <a:r>
            <a:rPr lang="en-US" cap="none" sz="1000" b="1" i="0" u="none" baseline="0">
              <a:latin typeface="Symbol"/>
              <a:ea typeface="Symbol"/>
              <a:cs typeface="Symbol"/>
            </a:rPr>
            <a:t>l</a:t>
          </a:r>
          <a:r>
            <a:rPr lang="en-US" cap="none" sz="1000" b="1" i="0" u="none" baseline="0">
              <a:latin typeface="Arial"/>
              <a:ea typeface="Arial"/>
              <a:cs typeface="Arial"/>
            </a:rPr>
            <a:t>/w</a:t>
          </a:r>
          <a:r>
            <a:rPr lang="en-US" cap="none" sz="1000" b="1" i="0" u="none" baseline="30000">
              <a:latin typeface="Arial"/>
              <a:ea typeface="Arial"/>
              <a:cs typeface="Arial"/>
            </a:rPr>
            <a:t>O              </a:t>
          </a:r>
          <a:r>
            <a:rPr lang="en-US" cap="none" sz="1000" b="0" i="0" u="none" baseline="0">
              <a:latin typeface="Arial"/>
              <a:ea typeface="Arial"/>
              <a:cs typeface="Arial"/>
            </a:rPr>
            <a:t>; for n = 1, n
with the Lagrange multiplier </a:t>
          </a:r>
          <a:r>
            <a:rPr lang="en-US" cap="none" sz="1000" b="0" i="0" u="none" baseline="0">
              <a:latin typeface="Symbol"/>
              <a:ea typeface="Symbol"/>
              <a:cs typeface="Symbol"/>
            </a:rPr>
            <a:t>l</a:t>
          </a:r>
          <a:r>
            <a:rPr lang="en-US" cap="none" sz="1000" b="0" i="0" u="none" baseline="0">
              <a:latin typeface="Arial"/>
              <a:ea typeface="Arial"/>
              <a:cs typeface="Arial"/>
            </a:rPr>
            <a:t> given by :
                                          </a:t>
          </a:r>
          <a:r>
            <a:rPr lang="en-US" cap="none" sz="1000" b="1" i="0" u="none" baseline="0">
              <a:latin typeface="Symbol"/>
              <a:ea typeface="Symbol"/>
              <a:cs typeface="Symbol"/>
            </a:rPr>
            <a:t>l</a:t>
          </a:r>
          <a:r>
            <a:rPr lang="en-US" cap="none" sz="1000" b="1" i="0" u="none" baseline="0">
              <a:latin typeface="Arial"/>
              <a:ea typeface="Arial"/>
              <a:cs typeface="Arial"/>
            </a:rPr>
            <a:t>  =  ( 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1" i="0" u="none" baseline="0">
              <a:latin typeface="Arial"/>
              <a:ea typeface="Arial"/>
              <a:cs typeface="Arial"/>
            </a:rPr>
            <a:t> </a:t>
          </a:r>
          <a:r>
            <a:rPr lang="en-US" cap="none" sz="1000" b="0" i="1" u="none" baseline="0">
              <a:latin typeface="Arial"/>
              <a:ea typeface="Arial"/>
              <a:cs typeface="Arial"/>
            </a:rPr>
            <a:t>F</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1" i="0" u="none" baseline="0">
              <a:latin typeface="Arial"/>
              <a:ea typeface="Arial"/>
              <a:cs typeface="Arial"/>
            </a:rPr>
            <a:t> </a:t>
          </a:r>
          <a:r>
            <a:rPr lang="en-US" cap="none" sz="1000" b="0" i="1" u="none" baseline="0">
              <a:latin typeface="Arial"/>
              <a:ea typeface="Arial"/>
              <a:cs typeface="Arial"/>
            </a:rPr>
            <a:t>U</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1" i="0" u="none" baseline="0">
              <a:latin typeface="Arial"/>
              <a:ea typeface="Arial"/>
              <a:cs typeface="Arial"/>
            </a:rPr>
            <a:t> </a:t>
          </a:r>
          <a:r>
            <a:rPr lang="en-US" cap="none" sz="1000" b="0" i="1" u="none" baseline="0">
              <a:latin typeface="Arial"/>
              <a:ea typeface="Arial"/>
              <a:cs typeface="Arial"/>
            </a:rPr>
            <a:t>O</a:t>
          </a:r>
          <a:r>
            <a:rPr lang="en-US" cap="none" sz="1000" b="1" i="0" u="none" baseline="0">
              <a:latin typeface="Arial"/>
              <a:ea typeface="Arial"/>
              <a:cs typeface="Arial"/>
            </a:rPr>
            <a:t>) / (1/w</a:t>
          </a:r>
          <a:r>
            <a:rPr lang="en-US" cap="none" sz="1000" b="1" i="0" u="none" baseline="30000">
              <a:latin typeface="Arial"/>
              <a:ea typeface="Arial"/>
              <a:cs typeface="Arial"/>
            </a:rPr>
            <a:t>F</a:t>
          </a:r>
          <a:r>
            <a:rPr lang="en-US" cap="none" sz="1000" b="1" i="0" u="none" baseline="0">
              <a:latin typeface="Arial"/>
              <a:ea typeface="Arial"/>
              <a:cs typeface="Arial"/>
            </a:rPr>
            <a:t> + 1/w</a:t>
          </a:r>
          <a:r>
            <a:rPr lang="en-US" cap="none" sz="1000" b="1" i="0" u="none" baseline="30000">
              <a:latin typeface="Arial"/>
              <a:ea typeface="Arial"/>
              <a:cs typeface="Arial"/>
            </a:rPr>
            <a:t>U</a:t>
          </a:r>
          <a:r>
            <a:rPr lang="en-US" cap="none" sz="1000" b="1" i="0" u="none" baseline="0">
              <a:latin typeface="Arial"/>
              <a:ea typeface="Arial"/>
              <a:cs typeface="Arial"/>
            </a:rPr>
            <a:t> + 1/w</a:t>
          </a:r>
          <a:r>
            <a:rPr lang="en-US" cap="none" sz="1000" b="1" i="0" u="none" baseline="30000">
              <a:latin typeface="Arial"/>
              <a:ea typeface="Arial"/>
              <a:cs typeface="Arial"/>
            </a:rPr>
            <a:t>O</a:t>
          </a:r>
          <a:r>
            <a:rPr lang="en-US" cap="none" sz="1000" b="1" i="0" u="none" baseline="0">
              <a:latin typeface="Arial"/>
              <a:ea typeface="Arial"/>
              <a:cs typeface="Arial"/>
            </a:rPr>
            <a:t>)</a:t>
          </a:r>
          <a:r>
            <a:rPr lang="en-US" cap="none" sz="1000" b="0" i="0" u="none" baseline="0">
              <a:latin typeface="Arial"/>
              <a:ea typeface="Arial"/>
              <a:cs typeface="Arial"/>
            </a:rPr>
            <a:t>
Further refinement of the </a:t>
          </a:r>
          <a:r>
            <a:rPr lang="en-US" cap="none" sz="1000" b="0" i="0" u="sng" baseline="0">
              <a:latin typeface="Arial"/>
              <a:ea typeface="Arial"/>
              <a:cs typeface="Arial"/>
            </a:rPr>
            <a:t>adjusted</a:t>
          </a:r>
          <a:r>
            <a:rPr lang="en-US" cap="none" sz="1000" b="0" i="0" u="none" baseline="0">
              <a:latin typeface="Arial"/>
              <a:ea typeface="Arial"/>
              <a:cs typeface="Arial"/>
            </a:rPr>
            <a:t> values so computed is achieved by imposing the condition that these values must conform to the </a:t>
          </a:r>
          <a:r>
            <a:rPr lang="en-US" cap="none" sz="1000" b="1" i="0" u="none" baseline="0">
              <a:latin typeface="Arial"/>
              <a:ea typeface="Arial"/>
              <a:cs typeface="Arial"/>
            </a:rPr>
            <a:t>Plitt's Classification Efficiency</a:t>
          </a:r>
          <a:r>
            <a:rPr lang="en-US" cap="none" sz="1000" b="0" i="0" u="none" baseline="0">
              <a:latin typeface="Arial"/>
              <a:ea typeface="Arial"/>
              <a:cs typeface="Arial"/>
            </a:rPr>
            <a:t> curve : (see </a:t>
          </a:r>
          <a:r>
            <a:rPr lang="en-US" cap="none" sz="1000" b="1" i="0" u="none" baseline="0">
              <a:latin typeface="Arial"/>
              <a:ea typeface="Arial"/>
              <a:cs typeface="Arial"/>
            </a:rPr>
            <a:t>About ... in Cyclosim_Single</a:t>
          </a:r>
          <a:r>
            <a:rPr lang="en-US" cap="none" sz="1000" b="0" i="0" u="none" baseline="0">
              <a:latin typeface="Arial"/>
              <a:ea typeface="Arial"/>
              <a:cs typeface="Arial"/>
            </a:rPr>
            <a:t>)
                                                  </a:t>
          </a:r>
          <a:r>
            <a:rPr lang="en-US" cap="none" sz="1000" b="1" i="0" u="none" baseline="0">
              <a:latin typeface="Arial"/>
              <a:ea typeface="Arial"/>
              <a:cs typeface="Arial"/>
            </a:rPr>
            <a:t>E</a:t>
          </a:r>
          <a:r>
            <a:rPr lang="en-US" cap="none" sz="1000" b="1" i="0" u="none" baseline="-25000">
              <a:latin typeface="Arial"/>
              <a:ea typeface="Arial"/>
              <a:cs typeface="Arial"/>
            </a:rPr>
            <a:t>i</a:t>
          </a:r>
          <a:r>
            <a:rPr lang="en-US" cap="none" sz="1000" b="1" i="0" u="none" baseline="0">
              <a:latin typeface="Arial"/>
              <a:ea typeface="Arial"/>
              <a:cs typeface="Arial"/>
            </a:rPr>
            <a:t> = B</a:t>
          </a:r>
          <a:r>
            <a:rPr lang="en-US" cap="none" sz="1000" b="1" i="0" u="none" baseline="-25000">
              <a:latin typeface="Arial"/>
              <a:ea typeface="Arial"/>
              <a:cs typeface="Arial"/>
            </a:rPr>
            <a:t>pf</a:t>
          </a:r>
          <a:r>
            <a:rPr lang="en-US" cap="none" sz="1000" b="1" i="0" u="none" baseline="0">
              <a:latin typeface="Arial"/>
              <a:ea typeface="Arial"/>
              <a:cs typeface="Arial"/>
            </a:rPr>
            <a:t>  +  (1 - B</a:t>
          </a:r>
          <a:r>
            <a:rPr lang="en-US" cap="none" sz="1000" b="1" i="0" u="none" baseline="-25000">
              <a:latin typeface="Arial"/>
              <a:ea typeface="Arial"/>
              <a:cs typeface="Arial"/>
            </a:rPr>
            <a:t>pf</a:t>
          </a:r>
          <a:r>
            <a:rPr lang="en-US" cap="none" sz="1000" b="1" i="0" u="none" baseline="0">
              <a:latin typeface="Arial"/>
              <a:ea typeface="Arial"/>
              <a:cs typeface="Arial"/>
            </a:rPr>
            <a:t> ) (1 - exp [ - 0.693 (d</a:t>
          </a:r>
          <a:r>
            <a:rPr lang="en-US" cap="none" sz="1000" b="1" i="0" u="none" baseline="-25000">
              <a:latin typeface="Arial"/>
              <a:ea typeface="Arial"/>
              <a:cs typeface="Arial"/>
            </a:rPr>
            <a:t>i</a:t>
          </a:r>
          <a:r>
            <a:rPr lang="en-US" cap="none" sz="1000" b="1" i="0" u="none" baseline="0">
              <a:latin typeface="Arial"/>
              <a:ea typeface="Arial"/>
              <a:cs typeface="Arial"/>
            </a:rPr>
            <a:t>/d</a:t>
          </a:r>
          <a:r>
            <a:rPr lang="en-US" cap="none" sz="1000" b="1" i="0" u="none" baseline="-25000">
              <a:latin typeface="Arial"/>
              <a:ea typeface="Arial"/>
              <a:cs typeface="Arial"/>
            </a:rPr>
            <a:t>50</a:t>
          </a:r>
          <a:r>
            <a:rPr lang="en-US" cap="none" sz="1000" b="1" i="0" u="none" baseline="30000">
              <a:latin typeface="Arial"/>
              <a:ea typeface="Arial"/>
              <a:cs typeface="Arial"/>
            </a:rPr>
            <a:t>c</a:t>
          </a:r>
          <a:r>
            <a:rPr lang="en-US" cap="none" sz="1000" b="1" i="0" u="none" baseline="0">
              <a:latin typeface="Arial"/>
              <a:ea typeface="Arial"/>
              <a:cs typeface="Arial"/>
            </a:rPr>
            <a:t>)</a:t>
          </a:r>
          <a:r>
            <a:rPr lang="en-US" cap="none" sz="1000" b="1" i="0" u="none" baseline="30000">
              <a:latin typeface="Arial"/>
              <a:ea typeface="Arial"/>
              <a:cs typeface="Arial"/>
            </a:rPr>
            <a:t>m</a:t>
          </a:r>
          <a:r>
            <a:rPr lang="en-US" cap="none" sz="1000" b="1" i="0" u="none" baseline="0">
              <a:latin typeface="Arial"/>
              <a:ea typeface="Arial"/>
              <a:cs typeface="Arial"/>
            </a:rPr>
            <a:t> ])</a:t>
          </a:r>
          <a:r>
            <a:rPr lang="en-US" cap="none" sz="1000" b="0" i="0" u="none" baseline="0">
              <a:latin typeface="Arial"/>
              <a:ea typeface="Arial"/>
              <a:cs typeface="Arial"/>
            </a:rPr>
            <a:t> 
with the aid of the </a:t>
          </a:r>
          <a:r>
            <a:rPr lang="en-US" cap="none" sz="1000" b="1" i="0" u="none" baseline="0">
              <a:latin typeface="Arial"/>
              <a:ea typeface="Arial"/>
              <a:cs typeface="Arial"/>
            </a:rPr>
            <a:t>Excel Subroutine Solver</a:t>
          </a:r>
          <a:r>
            <a:rPr lang="en-US" cap="none" sz="1000" b="0" i="0" u="none" baseline="0">
              <a:latin typeface="Arial"/>
              <a:ea typeface="Arial"/>
              <a:cs typeface="Arial"/>
            </a:rPr>
            <a:t> to minimize a least-square objective function with respect to parameters B</a:t>
          </a:r>
          <a:r>
            <a:rPr lang="en-US" cap="none" sz="1000" b="0" i="0" u="none" baseline="-25000">
              <a:latin typeface="Arial"/>
              <a:ea typeface="Arial"/>
              <a:cs typeface="Arial"/>
            </a:rPr>
            <a:t>pf</a:t>
          </a:r>
          <a:r>
            <a:rPr lang="en-US" cap="none" sz="1000" b="0" i="0" u="none" baseline="0">
              <a:latin typeface="Arial"/>
              <a:ea typeface="Arial"/>
              <a:cs typeface="Arial"/>
            </a:rPr>
            <a:t>, d</a:t>
          </a:r>
          <a:r>
            <a:rPr lang="en-US" cap="none" sz="1000" b="0" i="0" u="none" baseline="-25000">
              <a:latin typeface="Arial"/>
              <a:ea typeface="Arial"/>
              <a:cs typeface="Arial"/>
            </a:rPr>
            <a:t>50</a:t>
          </a:r>
          <a:r>
            <a:rPr lang="en-US" cap="none" sz="1000" b="0" i="0" u="none" baseline="30000">
              <a:latin typeface="Arial"/>
              <a:ea typeface="Arial"/>
              <a:cs typeface="Arial"/>
            </a:rPr>
            <a:t>c</a:t>
          </a:r>
          <a:r>
            <a:rPr lang="en-US" cap="none" sz="1000" b="0" i="0" u="none" baseline="0">
              <a:latin typeface="Arial"/>
              <a:ea typeface="Arial"/>
              <a:cs typeface="Arial"/>
            </a:rPr>
            <a:t> and m.
</a:t>
          </a:r>
          <a:r>
            <a:rPr lang="en-US" cap="none" sz="1000" b="1" i="0" u="none" baseline="0">
              <a:solidFill>
                <a:srgbClr val="000080"/>
              </a:solidFill>
              <a:latin typeface="Arial"/>
              <a:ea typeface="Arial"/>
              <a:cs typeface="Arial"/>
            </a:rPr>
            <a:t>Data Input and Program Execution :</a:t>
          </a:r>
          <a:r>
            <a:rPr lang="en-US" cap="none" sz="1000" b="0" i="0" u="none" baseline="0">
              <a:latin typeface="Arial"/>
              <a:ea typeface="Arial"/>
              <a:cs typeface="Arial"/>
            </a:rPr>
            <a:t>
Most of the data required by the model must be defined in each corresponding unprotected </a:t>
          </a:r>
          <a:r>
            <a:rPr lang="en-US" cap="none" sz="1000" b="1" i="0" u="none" baseline="0">
              <a:latin typeface="Arial"/>
              <a:ea typeface="Arial"/>
              <a:cs typeface="Arial"/>
            </a:rPr>
            <a:t>white background cell</a:t>
          </a:r>
          <a:r>
            <a:rPr lang="en-US" cap="none" sz="1000" b="0" i="0" u="none" baseline="0">
              <a:latin typeface="Arial"/>
              <a:ea typeface="Arial"/>
              <a:cs typeface="Arial"/>
            </a:rPr>
            <a:t> - inside the red double-lined border - of the here attached </a:t>
          </a:r>
          <a:r>
            <a:rPr lang="en-US" cap="none" sz="1000" b="1" i="0" u="none" baseline="0">
              <a:latin typeface="Arial"/>
              <a:ea typeface="Arial"/>
              <a:cs typeface="Arial"/>
            </a:rPr>
            <a:t>Data_File</a:t>
          </a:r>
          <a:r>
            <a:rPr lang="en-US" cap="none" sz="1000" b="0" i="0" u="none" baseline="0">
              <a:latin typeface="Arial"/>
              <a:ea typeface="Arial"/>
              <a:cs typeface="Arial"/>
            </a:rPr>
            <a:t> worksheet. </a:t>
          </a:r>
          <a:r>
            <a:rPr lang="en-US" cap="none" sz="1000" b="1" i="0" u="none" baseline="0">
              <a:latin typeface="Arial"/>
              <a:ea typeface="Arial"/>
              <a:cs typeface="Arial"/>
            </a:rPr>
            <a:t>Gray background cells</a:t>
          </a:r>
          <a:r>
            <a:rPr lang="en-US" cap="none" sz="1000" b="0" i="0" u="none" baseline="0">
              <a:latin typeface="Arial"/>
              <a:ea typeface="Arial"/>
              <a:cs typeface="Arial"/>
            </a:rPr>
            <a:t> contain the results of the corresponding formulas there defined and are protected to avoid any accidental editing.
The remaining information required to run the program is entered in the </a:t>
          </a:r>
          <a:r>
            <a:rPr lang="en-US" cap="none" sz="1000" b="1" i="0" u="none" baseline="0">
              <a:latin typeface="Arial"/>
              <a:ea typeface="Arial"/>
              <a:cs typeface="Arial"/>
            </a:rPr>
            <a:t>Control_Panel</a:t>
          </a:r>
          <a:r>
            <a:rPr lang="en-US" cap="none" sz="1000" b="0" i="0" u="none" baseline="0">
              <a:latin typeface="Arial"/>
              <a:ea typeface="Arial"/>
              <a:cs typeface="Arial"/>
            </a:rPr>
            <a:t> worksheet, where the user is requested to provide initial guesses of the B</a:t>
          </a:r>
          <a:r>
            <a:rPr lang="en-US" cap="none" sz="1000" b="0" i="0" u="none" baseline="-25000">
              <a:latin typeface="Arial"/>
              <a:ea typeface="Arial"/>
              <a:cs typeface="Arial"/>
            </a:rPr>
            <a:t>pf</a:t>
          </a:r>
          <a:r>
            <a:rPr lang="en-US" cap="none" sz="1000" b="0" i="0" u="none" baseline="0">
              <a:latin typeface="Arial"/>
              <a:ea typeface="Arial"/>
              <a:cs typeface="Arial"/>
            </a:rPr>
            <a:t>, d</a:t>
          </a:r>
          <a:r>
            <a:rPr lang="en-US" cap="none" sz="1000" b="0" i="0" u="none" baseline="-25000">
              <a:latin typeface="Arial"/>
              <a:ea typeface="Arial"/>
              <a:cs typeface="Arial"/>
            </a:rPr>
            <a:t>50</a:t>
          </a:r>
          <a:r>
            <a:rPr lang="en-US" cap="none" sz="1000" b="0" i="0" u="none" baseline="30000">
              <a:latin typeface="Arial"/>
              <a:ea typeface="Arial"/>
              <a:cs typeface="Arial"/>
            </a:rPr>
            <a:t>c</a:t>
          </a:r>
          <a:r>
            <a:rPr lang="en-US" cap="none" sz="1000" b="0" i="0" u="none" baseline="0">
              <a:latin typeface="Arial"/>
              <a:ea typeface="Arial"/>
              <a:cs typeface="Arial"/>
            </a:rPr>
            <a:t> and m parameters (see </a:t>
          </a:r>
          <a:r>
            <a:rPr lang="en-US" cap="none" sz="1000" b="1" i="0" u="none" baseline="0">
              <a:latin typeface="Arial"/>
              <a:ea typeface="Arial"/>
              <a:cs typeface="Arial"/>
            </a:rPr>
            <a:t>About ...</a:t>
          </a:r>
          <a:r>
            <a:rPr lang="en-US" cap="none" sz="1000" b="0" i="0" u="none" baseline="0">
              <a:latin typeface="Arial"/>
              <a:ea typeface="Arial"/>
              <a:cs typeface="Arial"/>
            </a:rPr>
            <a:t> in </a:t>
          </a:r>
          <a:r>
            <a:rPr lang="en-US" cap="none" sz="1000" b="1" i="0" u="none" baseline="0">
              <a:latin typeface="Arial"/>
              <a:ea typeface="Arial"/>
              <a:cs typeface="Arial"/>
            </a:rPr>
            <a:t>Cyclosim_Single</a:t>
          </a:r>
          <a:r>
            <a:rPr lang="en-US" cap="none" sz="1000" b="0" i="0" u="none" baseline="0">
              <a:latin typeface="Arial"/>
              <a:ea typeface="Arial"/>
              <a:cs typeface="Arial"/>
            </a:rPr>
            <a:t>). The B</a:t>
          </a:r>
          <a:r>
            <a:rPr lang="en-US" cap="none" sz="1000" b="0" i="0" u="none" baseline="-25000">
              <a:latin typeface="Arial"/>
              <a:ea typeface="Arial"/>
              <a:cs typeface="Arial"/>
            </a:rPr>
            <a:t>pc</a:t>
          </a:r>
          <a:r>
            <a:rPr lang="en-US" cap="none" sz="1000" b="0" i="0" u="none" baseline="0">
              <a:latin typeface="Arial"/>
              <a:ea typeface="Arial"/>
              <a:cs typeface="Arial"/>
            </a:rPr>
            <a:t> parameter is rarely used and was incorporated to take into account the possible short-circuit of coarse particles to the overflow (as could be the case in highly pressurised cyclones). Finally, the user must specify the relative weighting factors for the various feed, underflow and overflow streams plus the relative weighting factors for the size distribution and percent solids measurements.
To run the program, select the objective function </a:t>
          </a:r>
          <a:r>
            <a:rPr lang="en-US" cap="none" sz="1000" b="1" i="0" u="none" baseline="0">
              <a:solidFill>
                <a:srgbClr val="FF0000"/>
              </a:solidFill>
              <a:latin typeface="Arial"/>
              <a:ea typeface="Arial"/>
              <a:cs typeface="Arial"/>
            </a:rPr>
            <a:t>Cell E22</a:t>
          </a:r>
          <a:r>
            <a:rPr lang="en-US" cap="none" sz="1000" b="0" i="0" u="none" baseline="0">
              <a:latin typeface="Arial"/>
              <a:ea typeface="Arial"/>
              <a:cs typeface="Arial"/>
            </a:rPr>
            <a:t> and then, from the </a:t>
          </a:r>
          <a:r>
            <a:rPr lang="en-US" cap="none" sz="1000" b="1" i="0" u="none" baseline="0">
              <a:latin typeface="Arial"/>
              <a:ea typeface="Arial"/>
              <a:cs typeface="Arial"/>
            </a:rPr>
            <a:t>Tools Menu</a:t>
          </a:r>
          <a:r>
            <a:rPr lang="en-US" cap="none" sz="1000" b="0" i="0" u="none" baseline="0">
              <a:latin typeface="Arial"/>
              <a:ea typeface="Arial"/>
              <a:cs typeface="Arial"/>
            </a:rPr>
            <a:t>, select </a:t>
          </a:r>
          <a:r>
            <a:rPr lang="en-US" cap="none" sz="1000" b="1" i="0" u="none" baseline="0">
              <a:latin typeface="Arial"/>
              <a:ea typeface="Arial"/>
              <a:cs typeface="Arial"/>
            </a:rPr>
            <a:t>Solver ...</a:t>
          </a:r>
          <a:r>
            <a:rPr lang="en-US" cap="none" sz="1000" b="0" i="0" u="none" baseline="0">
              <a:latin typeface="Arial"/>
              <a:ea typeface="Arial"/>
              <a:cs typeface="Arial"/>
            </a:rPr>
            <a:t>, then </a:t>
          </a:r>
          <a:r>
            <a:rPr lang="en-US" cap="none" sz="1000" b="1" i="0" u="none" baseline="0">
              <a:latin typeface="Arial"/>
              <a:ea typeface="Arial"/>
              <a:cs typeface="Arial"/>
            </a:rPr>
            <a:t>Min</a:t>
          </a:r>
          <a:r>
            <a:rPr lang="en-US" cap="none" sz="1000" b="0" i="0" u="none" baseline="0">
              <a:latin typeface="Arial"/>
              <a:ea typeface="Arial"/>
              <a:cs typeface="Arial"/>
            </a:rPr>
            <a:t> and then </a:t>
          </a:r>
          <a:r>
            <a:rPr lang="en-US" cap="none" sz="1000" b="1" i="0" u="none" baseline="0">
              <a:latin typeface="Arial"/>
              <a:ea typeface="Arial"/>
              <a:cs typeface="Arial"/>
            </a:rPr>
            <a:t>By Changing </a:t>
          </a:r>
          <a:r>
            <a:rPr lang="en-US" cap="none" sz="1000" b="0" i="0" u="none" baseline="0">
              <a:latin typeface="Arial"/>
              <a:ea typeface="Arial"/>
              <a:cs typeface="Arial"/>
            </a:rPr>
            <a:t>any combination of </a:t>
          </a:r>
          <a:r>
            <a:rPr lang="en-US" cap="none" sz="1000" b="1" i="0" u="none" baseline="0">
              <a:solidFill>
                <a:srgbClr val="FF0000"/>
              </a:solidFill>
              <a:latin typeface="Arial"/>
              <a:ea typeface="Arial"/>
              <a:cs typeface="Arial"/>
            </a:rPr>
            <a:t>Cells C20:F20</a:t>
          </a:r>
          <a:r>
            <a:rPr lang="en-US" cap="none" sz="1000" b="0" i="0" u="none" baseline="0">
              <a:latin typeface="Arial"/>
              <a:ea typeface="Arial"/>
              <a:cs typeface="Arial"/>
            </a:rPr>
            <a:t>. Clicking on the </a:t>
          </a:r>
          <a:r>
            <a:rPr lang="en-US" cap="none" sz="1000" b="1" i="0" u="none" baseline="0">
              <a:latin typeface="Arial"/>
              <a:ea typeface="Arial"/>
              <a:cs typeface="Arial"/>
            </a:rPr>
            <a:t>Solve</a:t>
          </a:r>
          <a:r>
            <a:rPr lang="en-US" cap="none" sz="1000" b="0" i="0" u="none" baseline="0">
              <a:latin typeface="Arial"/>
              <a:ea typeface="Arial"/>
              <a:cs typeface="Arial"/>
            </a:rPr>
            <a:t> button will execute the desired calculations.
</a:t>
          </a:r>
          <a:r>
            <a:rPr lang="en-US" cap="none" sz="1000" b="1" i="0" u="none" baseline="0">
              <a:solidFill>
                <a:srgbClr val="FF0000"/>
              </a:solidFill>
              <a:latin typeface="Arial"/>
              <a:ea typeface="Arial"/>
              <a:cs typeface="Arial"/>
            </a:rPr>
            <a:t>Important Notice : Solver ... must be run every time any element of input data gets to be modified. </a:t>
          </a:r>
          <a:r>
            <a:rPr lang="en-US" cap="none" sz="1000" b="0" i="0" u="none" baseline="0">
              <a:latin typeface="Arial"/>
              <a:ea typeface="Arial"/>
              <a:cs typeface="Arial"/>
            </a:rPr>
            <a:t>Otherwise, the current outputs are not valid.
Calculation results are summarized in the </a:t>
          </a:r>
          <a:r>
            <a:rPr lang="en-US" cap="none" sz="1000" b="1" i="0" u="none" baseline="0">
              <a:latin typeface="Arial"/>
              <a:ea typeface="Arial"/>
              <a:cs typeface="Arial"/>
            </a:rPr>
            <a:t>Reports</a:t>
          </a:r>
          <a:r>
            <a:rPr lang="en-US" cap="none" sz="1000" b="0" i="0" u="none" baseline="0">
              <a:latin typeface="Arial"/>
              <a:ea typeface="Arial"/>
              <a:cs typeface="Arial"/>
            </a:rPr>
            <a:t> worksheet.
An interesting feature of this routine is that the user has the option to save for later reference every analyzed data set by copying the </a:t>
          </a:r>
          <a:r>
            <a:rPr lang="en-US" cap="none" sz="1000" b="1" i="0" u="none" baseline="0">
              <a:latin typeface="Arial"/>
              <a:ea typeface="Arial"/>
              <a:cs typeface="Arial"/>
            </a:rPr>
            <a:t>Data_File</a:t>
          </a:r>
          <a:r>
            <a:rPr lang="en-US" cap="none" sz="1000" b="0" i="0" u="none" baseline="0">
              <a:latin typeface="Arial"/>
              <a:ea typeface="Arial"/>
              <a:cs typeface="Arial"/>
            </a:rPr>
            <a:t> worksheet into as many as required </a:t>
          </a:r>
          <a:r>
            <a:rPr lang="en-US" cap="none" sz="1000" b="1" i="0" u="none" baseline="0">
              <a:latin typeface="Arial"/>
              <a:ea typeface="Arial"/>
              <a:cs typeface="Arial"/>
            </a:rPr>
            <a:t>Sample 1</a:t>
          </a:r>
          <a:r>
            <a:rPr lang="en-US" cap="none" sz="1000" b="0" i="0" u="none" baseline="0">
              <a:latin typeface="Arial"/>
              <a:ea typeface="Arial"/>
              <a:cs typeface="Arial"/>
            </a:rPr>
            <a:t>, </a:t>
          </a:r>
          <a:r>
            <a:rPr lang="en-US" cap="none" sz="1000" b="1" i="0" u="none" baseline="0">
              <a:latin typeface="Arial"/>
              <a:ea typeface="Arial"/>
              <a:cs typeface="Arial"/>
            </a:rPr>
            <a:t>Sample 2</a:t>
          </a:r>
          <a:r>
            <a:rPr lang="en-US" cap="none" sz="1000" b="0" i="0" u="none" baseline="0">
              <a:latin typeface="Arial"/>
              <a:ea typeface="Arial"/>
              <a:cs typeface="Arial"/>
            </a:rPr>
            <a:t>, etc. worksheets. For reprocessing these data, simply copy the information back to the </a:t>
          </a:r>
          <a:r>
            <a:rPr lang="en-US" cap="none" sz="1000" b="1" i="0" u="none" baseline="0">
              <a:latin typeface="Arial"/>
              <a:ea typeface="Arial"/>
              <a:cs typeface="Arial"/>
            </a:rPr>
            <a:t>Data_File</a:t>
          </a:r>
          <a:r>
            <a:rPr lang="en-US" cap="none" sz="1000" b="0" i="0" u="none" baseline="0">
              <a:latin typeface="Arial"/>
              <a:ea typeface="Arial"/>
              <a:cs typeface="Arial"/>
            </a:rPr>
            <a:t> and re-run the </a:t>
          </a:r>
          <a:r>
            <a:rPr lang="en-US" cap="none" sz="1000" b="1" i="0" u="none" baseline="0">
              <a:latin typeface="Arial"/>
              <a:ea typeface="Arial"/>
              <a:cs typeface="Arial"/>
            </a:rPr>
            <a:t>Solver</a:t>
          </a:r>
          <a:r>
            <a:rPr lang="en-US" cap="none" sz="1000" b="0" i="0" u="none" baseline="0">
              <a:latin typeface="Arial"/>
              <a:ea typeface="Arial"/>
              <a:cs typeface="Arial"/>
            </a:rPr>
            <a:t> routine.   
New </a:t>
          </a:r>
          <a:r>
            <a:rPr lang="en-US" cap="none" sz="1000" b="1" i="0" u="none" baseline="0">
              <a:latin typeface="Arial"/>
              <a:ea typeface="Arial"/>
              <a:cs typeface="Arial"/>
            </a:rPr>
            <a:t>Moly-Cop Tools</a:t>
          </a:r>
          <a:r>
            <a:rPr lang="en-US" cap="none" sz="1000" b="0" i="0" u="none" baseline="0">
              <a:latin typeface="Arial"/>
              <a:ea typeface="Arial"/>
              <a:cs typeface="Arial"/>
            </a:rPr>
            <a:t> users are invited to explore the brief comments inserted in each relevant cell, rendering the whole utilization of the worksheets self-explanatory.
</a:t>
          </a:r>
          <a:r>
            <a:rPr lang="en-US" cap="none" sz="1000" b="1" i="0" u="none" baseline="0">
              <a:latin typeface="Arial"/>
              <a:ea typeface="Arial"/>
              <a:cs typeface="Arial"/>
            </a:rPr>
            <a:t>
</a:t>
          </a:r>
          <a:r>
            <a:rPr lang="en-US" cap="none" sz="1000" b="0" i="0"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9</xdr:col>
      <xdr:colOff>0</xdr:colOff>
      <xdr:row>0</xdr:row>
      <xdr:rowOff>0</xdr:rowOff>
    </xdr:to>
    <xdr:sp>
      <xdr:nvSpPr>
        <xdr:cNvPr id="1" name="Rectangle 2"/>
        <xdr:cNvSpPr>
          <a:spLocks/>
        </xdr:cNvSpPr>
      </xdr:nvSpPr>
      <xdr:spPr>
        <a:xfrm>
          <a:off x="3133725" y="0"/>
          <a:ext cx="12954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9</xdr:col>
      <xdr:colOff>0</xdr:colOff>
      <xdr:row>0</xdr:row>
      <xdr:rowOff>0</xdr:rowOff>
    </xdr:to>
    <xdr:sp>
      <xdr:nvSpPr>
        <xdr:cNvPr id="2" name="Rectangle 3"/>
        <xdr:cNvSpPr>
          <a:spLocks/>
        </xdr:cNvSpPr>
      </xdr:nvSpPr>
      <xdr:spPr>
        <a:xfrm>
          <a:off x="3133725" y="0"/>
          <a:ext cx="12954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142875</xdr:rowOff>
    </xdr:from>
    <xdr:to>
      <xdr:col>15</xdr:col>
      <xdr:colOff>123825</xdr:colOff>
      <xdr:row>29</xdr:row>
      <xdr:rowOff>0</xdr:rowOff>
    </xdr:to>
    <xdr:graphicFrame>
      <xdr:nvGraphicFramePr>
        <xdr:cNvPr id="3" name="Chart 4"/>
        <xdr:cNvGraphicFramePr/>
      </xdr:nvGraphicFramePr>
      <xdr:xfrm>
        <a:off x="2762250" y="1076325"/>
        <a:ext cx="5276850" cy="3743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8</xdr:col>
      <xdr:colOff>0</xdr:colOff>
      <xdr:row>12</xdr:row>
      <xdr:rowOff>0</xdr:rowOff>
    </xdr:to>
    <xdr:sp>
      <xdr:nvSpPr>
        <xdr:cNvPr id="1" name="Rectangle 2"/>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2" name="Rectangle 8"/>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 name="Rectangle 10"/>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4" name="Rectangle 11"/>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0</xdr:rowOff>
    </xdr:from>
    <xdr:to>
      <xdr:col>6</xdr:col>
      <xdr:colOff>0</xdr:colOff>
      <xdr:row>15</xdr:row>
      <xdr:rowOff>0</xdr:rowOff>
    </xdr:to>
    <xdr:sp>
      <xdr:nvSpPr>
        <xdr:cNvPr id="1" name="Rectangle 2"/>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6</xdr:col>
      <xdr:colOff>0</xdr:colOff>
      <xdr:row>15</xdr:row>
      <xdr:rowOff>0</xdr:rowOff>
    </xdr:to>
    <xdr:sp>
      <xdr:nvSpPr>
        <xdr:cNvPr id="2" name="Rectangle 4"/>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6</xdr:col>
      <xdr:colOff>0</xdr:colOff>
      <xdr:row>15</xdr:row>
      <xdr:rowOff>0</xdr:rowOff>
    </xdr:to>
    <xdr:sp>
      <xdr:nvSpPr>
        <xdr:cNvPr id="3" name="Rectangle 5"/>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6</xdr:col>
      <xdr:colOff>0</xdr:colOff>
      <xdr:row>15</xdr:row>
      <xdr:rowOff>0</xdr:rowOff>
    </xdr:to>
    <xdr:sp>
      <xdr:nvSpPr>
        <xdr:cNvPr id="4" name="Rectangle 12"/>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6</xdr:col>
      <xdr:colOff>0</xdr:colOff>
      <xdr:row>15</xdr:row>
      <xdr:rowOff>0</xdr:rowOff>
    </xdr:to>
    <xdr:sp>
      <xdr:nvSpPr>
        <xdr:cNvPr id="5" name="Rectangle 13"/>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6</xdr:col>
      <xdr:colOff>0</xdr:colOff>
      <xdr:row>15</xdr:row>
      <xdr:rowOff>0</xdr:rowOff>
    </xdr:to>
    <xdr:sp>
      <xdr:nvSpPr>
        <xdr:cNvPr id="6" name="Rectangle 14"/>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6</xdr:col>
      <xdr:colOff>0</xdr:colOff>
      <xdr:row>15</xdr:row>
      <xdr:rowOff>0</xdr:rowOff>
    </xdr:to>
    <xdr:sp>
      <xdr:nvSpPr>
        <xdr:cNvPr id="7" name="Rectangle 15"/>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6</xdr:col>
      <xdr:colOff>0</xdr:colOff>
      <xdr:row>16</xdr:row>
      <xdr:rowOff>0</xdr:rowOff>
    </xdr:to>
    <xdr:sp>
      <xdr:nvSpPr>
        <xdr:cNvPr id="8" name="Rectangle 16"/>
        <xdr:cNvSpPr>
          <a:spLocks/>
        </xdr:cNvSpPr>
      </xdr:nvSpPr>
      <xdr:spPr>
        <a:xfrm>
          <a:off x="1657350" y="2295525"/>
          <a:ext cx="142875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6</xdr:col>
      <xdr:colOff>0</xdr:colOff>
      <xdr:row>16</xdr:row>
      <xdr:rowOff>0</xdr:rowOff>
    </xdr:to>
    <xdr:sp>
      <xdr:nvSpPr>
        <xdr:cNvPr id="9" name="Rectangle 17"/>
        <xdr:cNvSpPr>
          <a:spLocks/>
        </xdr:cNvSpPr>
      </xdr:nvSpPr>
      <xdr:spPr>
        <a:xfrm>
          <a:off x="1657350" y="2295525"/>
          <a:ext cx="142875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6</xdr:col>
      <xdr:colOff>0</xdr:colOff>
      <xdr:row>16</xdr:row>
      <xdr:rowOff>0</xdr:rowOff>
    </xdr:to>
    <xdr:sp>
      <xdr:nvSpPr>
        <xdr:cNvPr id="10" name="Rectangle 18"/>
        <xdr:cNvSpPr>
          <a:spLocks/>
        </xdr:cNvSpPr>
      </xdr:nvSpPr>
      <xdr:spPr>
        <a:xfrm>
          <a:off x="1657350" y="2295525"/>
          <a:ext cx="142875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6</xdr:col>
      <xdr:colOff>0</xdr:colOff>
      <xdr:row>16</xdr:row>
      <xdr:rowOff>0</xdr:rowOff>
    </xdr:to>
    <xdr:sp>
      <xdr:nvSpPr>
        <xdr:cNvPr id="11" name="Rectangle 19"/>
        <xdr:cNvSpPr>
          <a:spLocks/>
        </xdr:cNvSpPr>
      </xdr:nvSpPr>
      <xdr:spPr>
        <a:xfrm>
          <a:off x="1657350" y="2295525"/>
          <a:ext cx="142875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2" name="Rectangle 20"/>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3" name="Rectangle 21"/>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4" name="Rectangle 22"/>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5" name="Rectangle 23"/>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6" name="Rectangle 24"/>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7" name="Rectangle 25"/>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8" name="Rectangle 26"/>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9" name="Rectangle 27"/>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0" name="Rectangle 28"/>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1" name="Rectangle 29"/>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2" name="Rectangle 30"/>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3" name="Rectangle 31"/>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4" name="Rectangle 32"/>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5" name="Rectangle 33"/>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6" name="Rectangle 34"/>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7" name="Rectangle 35"/>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28" name="Rectangle 36"/>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29" name="Rectangle 37"/>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0" name="Rectangle 38"/>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1" name="Rectangle 39"/>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2" name="Rectangle 40"/>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3" name="Rectangle 41"/>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4" name="Rectangle 42"/>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5" name="Rectangle 43"/>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6" name="Rectangle 44"/>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7" name="Rectangle 45"/>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8" name="Rectangle 46"/>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9" name="Rectangle 47"/>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40" name="Rectangle 53"/>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41" name="Rectangle 54"/>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42" name="Rectangle 55"/>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43" name="Rectangle 56"/>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0</xdr:rowOff>
    </xdr:from>
    <xdr:to>
      <xdr:col>7</xdr:col>
      <xdr:colOff>0</xdr:colOff>
      <xdr:row>11</xdr:row>
      <xdr:rowOff>0</xdr:rowOff>
    </xdr:to>
    <xdr:sp>
      <xdr:nvSpPr>
        <xdr:cNvPr id="1" name="Rectangle 1"/>
        <xdr:cNvSpPr>
          <a:spLocks/>
        </xdr:cNvSpPr>
      </xdr:nvSpPr>
      <xdr:spPr>
        <a:xfrm>
          <a:off x="3048000" y="1771650"/>
          <a:ext cx="1219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0</xdr:rowOff>
    </xdr:from>
    <xdr:to>
      <xdr:col>7</xdr:col>
      <xdr:colOff>0</xdr:colOff>
      <xdr:row>11</xdr:row>
      <xdr:rowOff>0</xdr:rowOff>
    </xdr:to>
    <xdr:sp>
      <xdr:nvSpPr>
        <xdr:cNvPr id="2" name="Rectangle 2"/>
        <xdr:cNvSpPr>
          <a:spLocks/>
        </xdr:cNvSpPr>
      </xdr:nvSpPr>
      <xdr:spPr>
        <a:xfrm>
          <a:off x="3048000" y="1771650"/>
          <a:ext cx="1219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0</xdr:rowOff>
    </xdr:from>
    <xdr:to>
      <xdr:col>7</xdr:col>
      <xdr:colOff>0</xdr:colOff>
      <xdr:row>11</xdr:row>
      <xdr:rowOff>0</xdr:rowOff>
    </xdr:to>
    <xdr:sp>
      <xdr:nvSpPr>
        <xdr:cNvPr id="3" name="Rectangle 3"/>
        <xdr:cNvSpPr>
          <a:spLocks/>
        </xdr:cNvSpPr>
      </xdr:nvSpPr>
      <xdr:spPr>
        <a:xfrm>
          <a:off x="3048000" y="1771650"/>
          <a:ext cx="1219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0</xdr:rowOff>
    </xdr:from>
    <xdr:to>
      <xdr:col>7</xdr:col>
      <xdr:colOff>0</xdr:colOff>
      <xdr:row>11</xdr:row>
      <xdr:rowOff>0</xdr:rowOff>
    </xdr:to>
    <xdr:sp>
      <xdr:nvSpPr>
        <xdr:cNvPr id="4" name="Rectangle 4"/>
        <xdr:cNvSpPr>
          <a:spLocks/>
        </xdr:cNvSpPr>
      </xdr:nvSpPr>
      <xdr:spPr>
        <a:xfrm>
          <a:off x="3048000" y="1771650"/>
          <a:ext cx="1219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GSim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ll%20Power_Ball%20Mil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out ..."/>
      <sheetName val="Charts"/>
      <sheetName val="Data_File"/>
      <sheetName val="Reports"/>
      <sheetName val="SiE"/>
      <sheetName val="Bij"/>
      <sheetName val="J&amp;T"/>
      <sheetName val="C"/>
      <sheetName val="Mill"/>
      <sheetName val="Flowsheet"/>
    </sheetNames>
    <sheetDataSet>
      <sheetData sheetId="6">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B36">
            <v>0.4538647447672557</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B37">
            <v>0.1329938241984342</v>
          </cell>
          <cell r="C37">
            <v>0.36036494507900985</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B38">
            <v>0.07981995434265082</v>
          </cell>
          <cell r="C38">
            <v>0.2162830765733938</v>
          </cell>
          <cell r="D38">
            <v>0.43986120841808773</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B39">
            <v>0.03762051648408338</v>
          </cell>
          <cell r="C39">
            <v>0.10193793161705544</v>
          </cell>
          <cell r="D39">
            <v>0.20731414817609561</v>
          </cell>
          <cell r="E39">
            <v>0.5589504598119697</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B40">
            <v>0.004143158401546165</v>
          </cell>
          <cell r="C40">
            <v>0.011226454001346087</v>
          </cell>
          <cell r="D40">
            <v>0.022831567321479618</v>
          </cell>
          <cell r="E40">
            <v>0.061557376401194686</v>
          </cell>
          <cell r="F40">
            <v>0.3364043518266602</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B41">
            <v>0.0025072721778627294</v>
          </cell>
          <cell r="C41">
            <v>0.006793796675291508</v>
          </cell>
          <cell r="D41">
            <v>0.013816742681327876</v>
          </cell>
          <cell r="E41">
            <v>0.03725203871890098</v>
          </cell>
          <cell r="F41">
            <v>0.20357833085313753</v>
          </cell>
          <cell r="G41">
            <v>0.4115080196769153</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B42">
            <v>0.03596094123312027</v>
          </cell>
          <cell r="C42">
            <v>0.03867845060280528</v>
          </cell>
          <cell r="D42">
            <v>0.041818270676379166</v>
          </cell>
          <cell r="E42">
            <v>0.050263889536645234</v>
          </cell>
          <cell r="F42">
            <v>0.10197437663347586</v>
          </cell>
          <cell r="G42">
            <v>0.16432152878598572</v>
          </cell>
          <cell r="H42">
            <v>0.3709134954076273</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B43">
            <v>0.03710357848227985</v>
          </cell>
          <cell r="C43">
            <v>0.03931027722699709</v>
          </cell>
          <cell r="D43">
            <v>0.041558155354021825</v>
          </cell>
          <cell r="E43">
            <v>0.04694219046293069</v>
          </cell>
          <cell r="F43">
            <v>0.07657868643128374</v>
          </cell>
          <cell r="G43">
            <v>0.11123409387219069</v>
          </cell>
          <cell r="H43">
            <v>0.224936546529025</v>
          </cell>
          <cell r="I43">
            <v>0.4164396513915689</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B44">
            <v>0.031097345351920352</v>
          </cell>
          <cell r="C44">
            <v>0.03266193900273881</v>
          </cell>
          <cell r="D44">
            <v>0.03407281527929695</v>
          </cell>
          <cell r="E44">
            <v>0.036996659374044394</v>
          </cell>
          <cell r="F44">
            <v>0.05052080937672457</v>
          </cell>
          <cell r="G44">
            <v>0.06541008147023225</v>
          </cell>
          <cell r="H44">
            <v>0.11325952124819355</v>
          </cell>
          <cell r="I44">
            <v>0.19599360896813045</v>
          </cell>
          <cell r="J44">
            <v>0.40642514239137395</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B45">
            <v>0.02693795166548099</v>
          </cell>
          <cell r="C45">
            <v>0.02817131839411674</v>
          </cell>
          <cell r="D45">
            <v>0.029190949941770516</v>
          </cell>
          <cell r="E45">
            <v>0.031043651956112583</v>
          </cell>
          <cell r="F45">
            <v>0.0379152074951353</v>
          </cell>
          <cell r="G45">
            <v>0.04475296893194136</v>
          </cell>
          <cell r="H45">
            <v>0.06589110460849468</v>
          </cell>
          <cell r="I45">
            <v>0.10426770938622709</v>
          </cell>
          <cell r="J45">
            <v>0.19851764444564968</v>
          </cell>
          <cell r="K45">
            <v>0.4045362130681076</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B46">
            <v>0.02305755174804877</v>
          </cell>
          <cell r="C46">
            <v>0.024061340956561456</v>
          </cell>
          <cell r="D46">
            <v>0.024847884773906093</v>
          </cell>
          <cell r="E46">
            <v>0.026144230673337127</v>
          </cell>
          <cell r="F46">
            <v>0.029964191345541846</v>
          </cell>
          <cell r="G46">
            <v>0.03323748797780937</v>
          </cell>
          <cell r="H46">
            <v>0.04268505136566708</v>
          </cell>
          <cell r="I46">
            <v>0.06136276475547331</v>
          </cell>
          <cell r="J46">
            <v>0.10456306284159866</v>
          </cell>
          <cell r="K46">
            <v>0.19526362107399414</v>
          </cell>
          <cell r="L46">
            <v>0.3990728520978215</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B47">
            <v>0.018521284406417066</v>
          </cell>
          <cell r="C47">
            <v>0.019307536387500254</v>
          </cell>
          <cell r="D47">
            <v>0.01990603251135406</v>
          </cell>
          <cell r="E47">
            <v>0.020835506514480046</v>
          </cell>
          <cell r="F47">
            <v>0.023107424012485556</v>
          </cell>
          <cell r="G47">
            <v>0.024740208512041145</v>
          </cell>
          <cell r="H47">
            <v>0.028989019209080674</v>
          </cell>
          <cell r="I47">
            <v>0.038517547142345426</v>
          </cell>
          <cell r="J47">
            <v>0.058741814413000554</v>
          </cell>
          <cell r="K47">
            <v>0.09851248025563963</v>
          </cell>
          <cell r="L47">
            <v>0.18428023357549878</v>
          </cell>
          <cell r="M47">
            <v>0.37530677345675456</v>
          </cell>
          <cell r="N47">
            <v>0</v>
          </cell>
          <cell r="O47">
            <v>0</v>
          </cell>
          <cell r="P47">
            <v>0</v>
          </cell>
          <cell r="Q47">
            <v>0</v>
          </cell>
          <cell r="R47">
            <v>0</v>
          </cell>
          <cell r="S47">
            <v>0</v>
          </cell>
          <cell r="T47">
            <v>0</v>
          </cell>
          <cell r="U47">
            <v>0</v>
          </cell>
          <cell r="V47">
            <v>0</v>
          </cell>
          <cell r="W47">
            <v>0</v>
          </cell>
          <cell r="X47">
            <v>0</v>
          </cell>
          <cell r="Y47">
            <v>0</v>
          </cell>
          <cell r="Z47">
            <v>0</v>
          </cell>
        </row>
        <row r="48">
          <cell r="B48">
            <v>0.017636106877781124</v>
          </cell>
          <cell r="C48">
            <v>0.018375233487537945</v>
          </cell>
          <cell r="D48">
            <v>0.01892926875722324</v>
          </cell>
          <cell r="E48">
            <v>0.01976107571135592</v>
          </cell>
          <cell r="F48">
            <v>0.02154518047852591</v>
          </cell>
          <cell r="G48">
            <v>0.022625466796397264</v>
          </cell>
          <cell r="H48">
            <v>0.025080964346443524</v>
          </cell>
          <cell r="I48">
            <v>0.031547573394853645</v>
          </cell>
          <cell r="J48">
            <v>0.043912605640644864</v>
          </cell>
          <cell r="K48">
            <v>0.06602995960962346</v>
          </cell>
          <cell r="L48">
            <v>0.11058813789343452</v>
          </cell>
          <cell r="M48">
            <v>0.20562889363085513</v>
          </cell>
          <cell r="N48">
            <v>0.39700782365342135</v>
          </cell>
          <cell r="O48">
            <v>0</v>
          </cell>
          <cell r="P48">
            <v>0</v>
          </cell>
          <cell r="Q48">
            <v>0</v>
          </cell>
          <cell r="R48">
            <v>0</v>
          </cell>
          <cell r="S48">
            <v>0</v>
          </cell>
          <cell r="T48">
            <v>0</v>
          </cell>
          <cell r="U48">
            <v>0</v>
          </cell>
          <cell r="V48">
            <v>0</v>
          </cell>
          <cell r="W48">
            <v>0</v>
          </cell>
          <cell r="X48">
            <v>0</v>
          </cell>
          <cell r="Y48">
            <v>0</v>
          </cell>
          <cell r="Z48">
            <v>0</v>
          </cell>
        </row>
        <row r="49">
          <cell r="B49">
            <v>0.013551768209243281</v>
          </cell>
          <cell r="C49">
            <v>0.014116045214073461</v>
          </cell>
          <cell r="D49">
            <v>0.014535667601516977</v>
          </cell>
          <cell r="E49">
            <v>0.015154340547738163</v>
          </cell>
          <cell r="F49">
            <v>0.016379283795594723</v>
          </cell>
          <cell r="G49">
            <v>0.017026747380219975</v>
          </cell>
          <cell r="H49">
            <v>0.018301426550003094</v>
          </cell>
          <cell r="I49">
            <v>0.02226708120942228</v>
          </cell>
          <cell r="J49">
            <v>0.029115241199235087</v>
          </cell>
          <cell r="K49">
            <v>0.040046659417022706</v>
          </cell>
          <cell r="L49">
            <v>0.06000032386763102</v>
          </cell>
          <cell r="M49">
            <v>0.09959627086162448</v>
          </cell>
          <cell r="N49">
            <v>0.17584820541286883</v>
          </cell>
          <cell r="O49">
            <v>0.3620790455161448</v>
          </cell>
          <cell r="P49">
            <v>0</v>
          </cell>
          <cell r="Q49">
            <v>0</v>
          </cell>
          <cell r="R49">
            <v>0</v>
          </cell>
          <cell r="S49">
            <v>0</v>
          </cell>
          <cell r="T49">
            <v>0</v>
          </cell>
          <cell r="U49">
            <v>0</v>
          </cell>
          <cell r="V49">
            <v>0</v>
          </cell>
          <cell r="W49">
            <v>0</v>
          </cell>
          <cell r="X49">
            <v>0</v>
          </cell>
          <cell r="Y49">
            <v>0</v>
          </cell>
          <cell r="Z49">
            <v>0</v>
          </cell>
        </row>
        <row r="50">
          <cell r="B50">
            <v>0.012358534703789253</v>
          </cell>
          <cell r="C50">
            <v>0.012871532836482</v>
          </cell>
          <cell r="D50">
            <v>0.013251559840014429</v>
          </cell>
          <cell r="E50">
            <v>0.013806868479659368</v>
          </cell>
          <cell r="F50">
            <v>0.014860636561323609</v>
          </cell>
          <cell r="G50">
            <v>0.015371871709016785</v>
          </cell>
          <cell r="H50">
            <v>0.01626879733577509</v>
          </cell>
          <cell r="I50">
            <v>0.019450074615910598</v>
          </cell>
          <cell r="J50">
            <v>0.02454441286309833</v>
          </cell>
          <cell r="K50">
            <v>0.031883175282031884</v>
          </cell>
          <cell r="L50">
            <v>0.04388372372911448</v>
          </cell>
          <cell r="M50">
            <v>0.06549122227602644</v>
          </cell>
          <cell r="N50">
            <v>0.1043175041928675</v>
          </cell>
          <cell r="O50">
            <v>0.19482940314513136</v>
          </cell>
          <cell r="P50">
            <v>0.37052511468767735</v>
          </cell>
          <cell r="Q50">
            <v>0</v>
          </cell>
          <cell r="R50">
            <v>0</v>
          </cell>
          <cell r="S50">
            <v>0</v>
          </cell>
          <cell r="T50">
            <v>0</v>
          </cell>
          <cell r="U50">
            <v>0</v>
          </cell>
          <cell r="V50">
            <v>0</v>
          </cell>
          <cell r="W50">
            <v>0</v>
          </cell>
          <cell r="X50">
            <v>0</v>
          </cell>
          <cell r="Y50">
            <v>0</v>
          </cell>
          <cell r="Z50">
            <v>0</v>
          </cell>
        </row>
        <row r="51">
          <cell r="B51">
            <v>0.01046804673707779</v>
          </cell>
          <cell r="C51">
            <v>0.010901879576552129</v>
          </cell>
          <cell r="D51">
            <v>0.011222624798866987</v>
          </cell>
          <cell r="E51">
            <v>0.011689129785358299</v>
          </cell>
          <cell r="F51">
            <v>0.012554224888953677</v>
          </cell>
          <cell r="G51">
            <v>0.012952878334751686</v>
          </cell>
          <cell r="H51">
            <v>0.013597376995442528</v>
          </cell>
          <cell r="I51">
            <v>0.016103153797401626</v>
          </cell>
          <cell r="J51">
            <v>0.019918791592521398</v>
          </cell>
          <cell r="K51">
            <v>0.02499356596724553</v>
          </cell>
          <cell r="L51">
            <v>0.0324694903618751</v>
          </cell>
          <cell r="M51">
            <v>0.0444783947327759</v>
          </cell>
          <cell r="N51">
            <v>0.06403779364674134</v>
          </cell>
          <cell r="O51">
            <v>0.10628183616798675</v>
          </cell>
          <cell r="P51">
            <v>0.18436118810036156</v>
          </cell>
          <cell r="Q51">
            <v>0.36056377926801053</v>
          </cell>
          <cell r="R51">
            <v>0</v>
          </cell>
          <cell r="S51">
            <v>0</v>
          </cell>
          <cell r="T51">
            <v>0</v>
          </cell>
          <cell r="U51">
            <v>0</v>
          </cell>
          <cell r="V51">
            <v>0</v>
          </cell>
          <cell r="W51">
            <v>0</v>
          </cell>
          <cell r="X51">
            <v>0</v>
          </cell>
          <cell r="Y51">
            <v>0</v>
          </cell>
          <cell r="Z51">
            <v>0</v>
          </cell>
        </row>
        <row r="52">
          <cell r="B52">
            <v>0.009046442686308422</v>
          </cell>
          <cell r="C52">
            <v>0.00942106591838026</v>
          </cell>
          <cell r="D52">
            <v>0.009697765503699898</v>
          </cell>
          <cell r="E52">
            <v>0.010099281577774753</v>
          </cell>
          <cell r="F52">
            <v>0.010835243796274568</v>
          </cell>
          <cell r="G52">
            <v>0.011165183718162844</v>
          </cell>
          <cell r="H52">
            <v>0.011673306862316116</v>
          </cell>
          <cell r="I52">
            <v>0.013758720573675345</v>
          </cell>
          <cell r="J52">
            <v>0.01684444753751689</v>
          </cell>
          <cell r="K52">
            <v>0.020746153344364415</v>
          </cell>
          <cell r="L52">
            <v>0.02606684192556674</v>
          </cell>
          <cell r="M52">
            <v>0.03377680887117315</v>
          </cell>
          <cell r="N52">
            <v>0.04502963610630345</v>
          </cell>
          <cell r="O52">
            <v>0.06694324944711916</v>
          </cell>
          <cell r="P52">
            <v>0.1044283881573827</v>
          </cell>
          <cell r="Q52">
            <v>0.18481148980234224</v>
          </cell>
          <cell r="R52">
            <v>0.3553920793126102</v>
          </cell>
          <cell r="S52">
            <v>0</v>
          </cell>
          <cell r="T52">
            <v>0</v>
          </cell>
          <cell r="U52">
            <v>0</v>
          </cell>
          <cell r="V52">
            <v>0</v>
          </cell>
          <cell r="W52">
            <v>0</v>
          </cell>
          <cell r="X52">
            <v>0</v>
          </cell>
          <cell r="Y52">
            <v>0</v>
          </cell>
          <cell r="Z52">
            <v>0</v>
          </cell>
        </row>
        <row r="53">
          <cell r="B53">
            <v>0.007711201379616665</v>
          </cell>
          <cell r="C53">
            <v>0.00803040746703483</v>
          </cell>
          <cell r="D53">
            <v>0.008266061811120808</v>
          </cell>
          <cell r="E53">
            <v>0.00860762704597881</v>
          </cell>
          <cell r="F53">
            <v>0.009230064495353775</v>
          </cell>
          <cell r="G53">
            <v>0.009505177998751932</v>
          </cell>
          <cell r="H53">
            <v>0.009917764531059317</v>
          </cell>
          <cell r="I53">
            <v>0.011661710537622452</v>
          </cell>
          <cell r="J53">
            <v>0.01420296876509887</v>
          </cell>
          <cell r="K53">
            <v>0.017325341245581508</v>
          </cell>
          <cell r="L53">
            <v>0.021381414886162825</v>
          </cell>
          <cell r="M53">
            <v>0.02683163888537518</v>
          </cell>
          <cell r="N53">
            <v>0.03404795079069459</v>
          </cell>
          <cell r="O53">
            <v>0.04659147014260509</v>
          </cell>
          <cell r="P53">
            <v>0.06593460225334136</v>
          </cell>
          <cell r="Q53">
            <v>0.10422775311568555</v>
          </cell>
          <cell r="R53">
            <v>0.18113685641674016</v>
          </cell>
          <cell r="S53">
            <v>0.3466136056066824</v>
          </cell>
          <cell r="T53">
            <v>0</v>
          </cell>
          <cell r="U53">
            <v>0</v>
          </cell>
          <cell r="V53">
            <v>0</v>
          </cell>
          <cell r="W53">
            <v>0</v>
          </cell>
          <cell r="X53">
            <v>0</v>
          </cell>
          <cell r="Y53">
            <v>0</v>
          </cell>
          <cell r="Z53">
            <v>0</v>
          </cell>
        </row>
        <row r="54">
          <cell r="B54">
            <v>0.006573924336994136</v>
          </cell>
          <cell r="C54">
            <v>0.006846001296781708</v>
          </cell>
          <cell r="D54">
            <v>0.0070468150714689745</v>
          </cell>
          <cell r="E54">
            <v>0.0073377182955908365</v>
          </cell>
          <cell r="F54">
            <v>0.007866314464005583</v>
          </cell>
          <cell r="G54">
            <v>0.008098298587865434</v>
          </cell>
          <cell r="H54">
            <v>0.008441473077296945</v>
          </cell>
          <cell r="I54">
            <v>0.009914181305233166</v>
          </cell>
          <cell r="J54">
            <v>0.012043533729404685</v>
          </cell>
          <cell r="K54">
            <v>0.014620592028382035</v>
          </cell>
          <cell r="L54">
            <v>0.017878650371670426</v>
          </cell>
          <cell r="M54">
            <v>0.02205740436897574</v>
          </cell>
          <cell r="N54">
            <v>0.027219060520190297</v>
          </cell>
          <cell r="O54">
            <v>0.03535472010226404</v>
          </cell>
          <cell r="P54">
            <v>0.046588398478009024</v>
          </cell>
          <cell r="Q54">
            <v>0.06663325297165545</v>
          </cell>
          <cell r="R54">
            <v>0.10364512195258868</v>
          </cell>
          <cell r="S54">
            <v>0.17881954788738186</v>
          </cell>
          <cell r="T54">
            <v>0.33751261238409114</v>
          </cell>
          <cell r="U54">
            <v>0</v>
          </cell>
          <cell r="V54">
            <v>0</v>
          </cell>
          <cell r="W54">
            <v>0</v>
          </cell>
          <cell r="X54">
            <v>0</v>
          </cell>
          <cell r="Y54">
            <v>0</v>
          </cell>
          <cell r="Z54">
            <v>0</v>
          </cell>
        </row>
        <row r="55">
          <cell r="B55">
            <v>0.005644890361308885</v>
          </cell>
          <cell r="C55">
            <v>0.005878495435929311</v>
          </cell>
          <cell r="D55">
            <v>0.006050893990278028</v>
          </cell>
          <cell r="E55">
            <v>0.006300565567202154</v>
          </cell>
          <cell r="F55">
            <v>0.006753598908769025</v>
          </cell>
          <cell r="G55">
            <v>0.006951721510916879</v>
          </cell>
          <cell r="H55">
            <v>0.007242787517367684</v>
          </cell>
          <cell r="I55">
            <v>0.008501452880548308</v>
          </cell>
          <cell r="J55">
            <v>0.010314233015767414</v>
          </cell>
          <cell r="K55">
            <v>0.012491332159548979</v>
          </cell>
          <cell r="L55">
            <v>0.015204698043146933</v>
          </cell>
          <cell r="M55">
            <v>0.018595697430034364</v>
          </cell>
          <cell r="N55">
            <v>0.022610264141582237</v>
          </cell>
          <cell r="O55">
            <v>0.028517517087465943</v>
          </cell>
          <cell r="P55">
            <v>0.03594690310771578</v>
          </cell>
          <cell r="Q55">
            <v>0.04784527883698739</v>
          </cell>
          <cell r="R55">
            <v>0.06758517628224359</v>
          </cell>
          <cell r="S55">
            <v>0.10434696188489723</v>
          </cell>
          <cell r="T55">
            <v>0.17739979896901348</v>
          </cell>
          <cell r="U55">
            <v>0.3298478906530622</v>
          </cell>
          <cell r="V55">
            <v>0</v>
          </cell>
          <cell r="W55">
            <v>0</v>
          </cell>
          <cell r="X55">
            <v>0</v>
          </cell>
          <cell r="Y55">
            <v>0</v>
          </cell>
          <cell r="Z55">
            <v>0</v>
          </cell>
        </row>
        <row r="56">
          <cell r="B56">
            <v>0.004812377767169845</v>
          </cell>
          <cell r="C56">
            <v>0.005011521504786617</v>
          </cell>
          <cell r="D56">
            <v>0.0051584795001336885</v>
          </cell>
          <cell r="E56">
            <v>0.0053712786495869955</v>
          </cell>
          <cell r="F56">
            <v>0.005757137343999484</v>
          </cell>
          <cell r="G56">
            <v>0.005925589081185623</v>
          </cell>
          <cell r="H56">
            <v>0.006172214845706202</v>
          </cell>
          <cell r="I56">
            <v>0.007242770402640077</v>
          </cell>
          <cell r="J56">
            <v>0.008781639898942616</v>
          </cell>
          <cell r="K56">
            <v>0.010622665449103438</v>
          </cell>
          <cell r="L56">
            <v>0.012900540084766862</v>
          </cell>
          <cell r="M56">
            <v>0.015708762106361004</v>
          </cell>
          <cell r="N56">
            <v>0.018956182550852768</v>
          </cell>
          <cell r="O56">
            <v>0.02354005022020511</v>
          </cell>
          <cell r="P56">
            <v>0.028944484190425834</v>
          </cell>
          <cell r="Q56">
            <v>0.03686055687798234</v>
          </cell>
          <cell r="R56">
            <v>0.048641413721565385</v>
          </cell>
          <cell r="S56">
            <v>0.06833237540886322</v>
          </cell>
          <cell r="T56">
            <v>0.1041120735290273</v>
          </cell>
          <cell r="U56">
            <v>0.1742118325795044</v>
          </cell>
          <cell r="V56">
            <v>0.32018763021123275</v>
          </cell>
          <cell r="W56">
            <v>0</v>
          </cell>
          <cell r="X56">
            <v>0</v>
          </cell>
          <cell r="Y56">
            <v>0</v>
          </cell>
          <cell r="Z56">
            <v>0</v>
          </cell>
        </row>
        <row r="57">
          <cell r="B57">
            <v>0.004132294641346571</v>
          </cell>
          <cell r="C57">
            <v>0.004303291640345944</v>
          </cell>
          <cell r="D57">
            <v>0.0044294752311965745</v>
          </cell>
          <cell r="E57">
            <v>0.004612180326347613</v>
          </cell>
          <cell r="F57">
            <v>0.004943357423588347</v>
          </cell>
          <cell r="G57">
            <v>0.005087813196365816</v>
          </cell>
          <cell r="H57">
            <v>0.005298947625791299</v>
          </cell>
          <cell r="I57">
            <v>0.00621716654007768</v>
          </cell>
          <cell r="J57">
            <v>0.007535797116449187</v>
          </cell>
          <cell r="K57">
            <v>0.00911032702742666</v>
          </cell>
          <cell r="L57">
            <v>0.011051398124404685</v>
          </cell>
          <cell r="M57">
            <v>0.013427901421739774</v>
          </cell>
          <cell r="N57">
            <v>0.01614256878256895</v>
          </cell>
          <cell r="O57">
            <v>0.01988796250600429</v>
          </cell>
          <cell r="P57">
            <v>0.024136775441765845</v>
          </cell>
          <cell r="Q57">
            <v>0.02999480734879678</v>
          </cell>
          <cell r="R57">
            <v>0.03798214980772091</v>
          </cell>
          <cell r="S57">
            <v>0.04997794474043854</v>
          </cell>
          <cell r="T57">
            <v>0.06952654983829015</v>
          </cell>
          <cell r="U57">
            <v>0.10447472668024</v>
          </cell>
          <cell r="V57">
            <v>0.17259624078846603</v>
          </cell>
          <cell r="W57">
            <v>0.31187884228532403</v>
          </cell>
          <cell r="X57">
            <v>0</v>
          </cell>
          <cell r="Y57">
            <v>0</v>
          </cell>
          <cell r="Z57">
            <v>0</v>
          </cell>
        </row>
        <row r="58">
          <cell r="B58">
            <v>0.0033978401869897215</v>
          </cell>
          <cell r="C58">
            <v>0.003538443457731199</v>
          </cell>
          <cell r="D58">
            <v>0.0036421972304303656</v>
          </cell>
          <cell r="E58">
            <v>0.0037924206425553678</v>
          </cell>
          <cell r="F58">
            <v>0.004064675026626108</v>
          </cell>
          <cell r="G58">
            <v>0.004183379764522686</v>
          </cell>
          <cell r="H58">
            <v>0.004356732928025481</v>
          </cell>
          <cell r="I58">
            <v>0.005111333622032088</v>
          </cell>
          <cell r="J58">
            <v>0.006194490787414804</v>
          </cell>
          <cell r="K58">
            <v>0.007486642948324067</v>
          </cell>
          <cell r="L58">
            <v>0.009076761076610422</v>
          </cell>
          <cell r="M58">
            <v>0.011016935633769584</v>
          </cell>
          <cell r="N58">
            <v>0.01321958878639623</v>
          </cell>
          <cell r="O58">
            <v>0.016223045053273558</v>
          </cell>
          <cell r="P58">
            <v>0.019559997105466173</v>
          </cell>
          <cell r="Q58">
            <v>0.02400123330058751</v>
          </cell>
          <cell r="R58">
            <v>0.029717758135684058</v>
          </cell>
          <cell r="S58">
            <v>0.037617130890020195</v>
          </cell>
          <cell r="T58">
            <v>0.049222810839251674</v>
          </cell>
          <cell r="U58">
            <v>0.06786467143334413</v>
          </cell>
          <cell r="V58">
            <v>0.10099594529920841</v>
          </cell>
          <cell r="W58">
            <v>0.16429228568983278</v>
          </cell>
          <cell r="X58">
            <v>0.29322104132327764</v>
          </cell>
          <cell r="Y58">
            <v>0</v>
          </cell>
          <cell r="Z58">
            <v>0</v>
          </cell>
        </row>
        <row r="59">
          <cell r="B59">
            <v>0.021038448853274022</v>
          </cell>
          <cell r="C59">
            <v>0.021909015647548283</v>
          </cell>
          <cell r="D59">
            <v>0.022551415530330573</v>
          </cell>
          <cell r="E59">
            <v>0.023481509921236255</v>
          </cell>
          <cell r="F59">
            <v>0.02516690484254061</v>
          </cell>
          <cell r="G59">
            <v>0.02590148269472724</v>
          </cell>
          <cell r="H59">
            <v>0.026973469016684428</v>
          </cell>
          <cell r="I59">
            <v>0.03164349947683755</v>
          </cell>
          <cell r="J59">
            <v>0.03834417376228301</v>
          </cell>
          <cell r="K59">
            <v>0.04633127112360393</v>
          </cell>
          <cell r="L59">
            <v>0.0561449339622957</v>
          </cell>
          <cell r="M59">
            <v>0.06808329632453469</v>
          </cell>
          <cell r="N59">
            <v>0.08156342141551245</v>
          </cell>
          <cell r="O59">
            <v>0.09975170061179991</v>
          </cell>
          <cell r="P59">
            <v>0.11957414847785437</v>
          </cell>
          <cell r="Q59">
            <v>0.1450618484779522</v>
          </cell>
          <cell r="R59">
            <v>0.17589944437084704</v>
          </cell>
          <cell r="S59">
            <v>0.21429243358171654</v>
          </cell>
          <cell r="T59">
            <v>0.26222615444032626</v>
          </cell>
          <cell r="U59">
            <v>0.3236008786538493</v>
          </cell>
          <cell r="V59">
            <v>0.4062201837010928</v>
          </cell>
          <cell r="W59">
            <v>0.5238288720248432</v>
          </cell>
          <cell r="X59">
            <v>0.7067789586767224</v>
          </cell>
          <cell r="Y59">
            <v>1</v>
          </cell>
          <cell r="Z59">
            <v>0</v>
          </cell>
        </row>
        <row r="65">
          <cell r="B65">
            <v>1</v>
          </cell>
          <cell r="C65">
            <v>2</v>
          </cell>
          <cell r="D65">
            <v>3</v>
          </cell>
          <cell r="E65">
            <v>4</v>
          </cell>
          <cell r="F65">
            <v>5</v>
          </cell>
          <cell r="G65">
            <v>6</v>
          </cell>
          <cell r="H65">
            <v>7</v>
          </cell>
          <cell r="I65">
            <v>8</v>
          </cell>
          <cell r="J65">
            <v>9</v>
          </cell>
          <cell r="K65">
            <v>10</v>
          </cell>
          <cell r="L65">
            <v>11</v>
          </cell>
          <cell r="M65">
            <v>12</v>
          </cell>
          <cell r="N65">
            <v>13</v>
          </cell>
          <cell r="O65">
            <v>14</v>
          </cell>
          <cell r="P65">
            <v>15</v>
          </cell>
          <cell r="Q65">
            <v>16</v>
          </cell>
          <cell r="R65">
            <v>17</v>
          </cell>
          <cell r="S65">
            <v>18</v>
          </cell>
          <cell r="T65">
            <v>19</v>
          </cell>
          <cell r="U65">
            <v>20</v>
          </cell>
          <cell r="V65">
            <v>21</v>
          </cell>
          <cell r="W65">
            <v>22</v>
          </cell>
          <cell r="X65">
            <v>23</v>
          </cell>
          <cell r="Y65">
            <v>24</v>
          </cell>
          <cell r="Z65">
            <v>25</v>
          </cell>
        </row>
        <row r="66">
          <cell r="A66">
            <v>1</v>
          </cell>
          <cell r="B66">
            <v>1</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2</v>
          </cell>
          <cell r="B67">
            <v>-3.3355711596777287</v>
          </cell>
          <cell r="C67">
            <v>1</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3</v>
          </cell>
          <cell r="B68">
            <v>4.855192497082574</v>
          </cell>
          <cell r="C68">
            <v>-6.17382342328549</v>
          </cell>
          <cell r="D68">
            <v>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4</v>
          </cell>
          <cell r="B69">
            <v>-8.524638238108757</v>
          </cell>
          <cell r="C69">
            <v>507.743011934467</v>
          </cell>
          <cell r="D69">
            <v>7.704428371725801</v>
          </cell>
          <cell r="E69">
            <v>1</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5</v>
          </cell>
          <cell r="B70">
            <v>-18.542428197647</v>
          </cell>
          <cell r="C70">
            <v>744.1109619828184</v>
          </cell>
          <cell r="D70">
            <v>10.26682222449019</v>
          </cell>
          <cell r="E70">
            <v>1.4535519419208842</v>
          </cell>
          <cell r="F70">
            <v>1</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v>
          </cell>
          <cell r="B71">
            <v>-9.274836106941766</v>
          </cell>
          <cell r="C71">
            <v>331.8513371495147</v>
          </cell>
          <cell r="D71">
            <v>4.409759643016375</v>
          </cell>
          <cell r="E71">
            <v>0.6462625033198519</v>
          </cell>
          <cell r="F71">
            <v>0.614227730872423</v>
          </cell>
          <cell r="G71">
            <v>1</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7</v>
          </cell>
          <cell r="B72">
            <v>-7.777173773367092</v>
          </cell>
          <cell r="C72">
            <v>271.87355762938813</v>
          </cell>
          <cell r="D72">
            <v>3.5847307277440112</v>
          </cell>
          <cell r="E72">
            <v>0.5291255398622431</v>
          </cell>
          <cell r="F72">
            <v>0.5357162971089742</v>
          </cell>
          <cell r="G72">
            <v>1.1321433478017993</v>
          </cell>
          <cell r="H72">
            <v>1</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8</v>
          </cell>
          <cell r="B73">
            <v>-5.6105763911493565</v>
          </cell>
          <cell r="C73">
            <v>195.83508439872617</v>
          </cell>
          <cell r="D73">
            <v>2.5884970545778074</v>
          </cell>
          <cell r="E73">
            <v>0.3811838656171919</v>
          </cell>
          <cell r="F73">
            <v>0.3929742939715932</v>
          </cell>
          <cell r="G73">
            <v>0.9695046309779285</v>
          </cell>
          <cell r="H73">
            <v>1.2752202769867604</v>
          </cell>
          <cell r="I73">
            <v>1</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9</v>
          </cell>
          <cell r="B74">
            <v>-5.706234514562974</v>
          </cell>
          <cell r="C74">
            <v>197.45907681649967</v>
          </cell>
          <cell r="D74">
            <v>2.604469287025176</v>
          </cell>
          <cell r="E74">
            <v>0.3842710915999404</v>
          </cell>
          <cell r="F74">
            <v>0.4069029016054629</v>
          </cell>
          <cell r="G74">
            <v>1.116274449601525</v>
          </cell>
          <cell r="H74">
            <v>1.8153748940521734</v>
          </cell>
          <cell r="I74">
            <v>2.551812986491895</v>
          </cell>
          <cell r="J74">
            <v>1</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10</v>
          </cell>
          <cell r="B75">
            <v>-5.660671076416791</v>
          </cell>
          <cell r="C75">
            <v>193.25872791879695</v>
          </cell>
          <cell r="D75">
            <v>2.538807061295498</v>
          </cell>
          <cell r="E75">
            <v>0.37596884750973847</v>
          </cell>
          <cell r="F75">
            <v>0.4135483234471685</v>
          </cell>
          <cell r="G75">
            <v>1.2864140015105776</v>
          </cell>
          <cell r="H75">
            <v>2.6138130734732874</v>
          </cell>
          <cell r="I75">
            <v>6.039348536854847</v>
          </cell>
          <cell r="J75">
            <v>6.85035147618966</v>
          </cell>
          <cell r="K75">
            <v>1</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11</v>
          </cell>
          <cell r="B76">
            <v>-6.490122119732061</v>
          </cell>
          <cell r="C76">
            <v>217.65053530447793</v>
          </cell>
          <cell r="D76">
            <v>2.842840643958775</v>
          </cell>
          <cell r="E76">
            <v>0.42322069244859944</v>
          </cell>
          <cell r="F76">
            <v>0.48869383162225555</v>
          </cell>
          <cell r="G76">
            <v>1.7664396603693562</v>
          </cell>
          <cell r="H76">
            <v>4.686109986161798</v>
          </cell>
          <cell r="I76">
            <v>20.414844625561948</v>
          </cell>
          <cell r="J76">
            <v>199.85783031830624</v>
          </cell>
          <cell r="K76">
            <v>-9.818197998367085</v>
          </cell>
          <cell r="L76">
            <v>1</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12</v>
          </cell>
          <cell r="B77">
            <v>-8.244362137865256</v>
          </cell>
          <cell r="C77">
            <v>269.59468179708057</v>
          </cell>
          <cell r="D77">
            <v>3.4918401279810984</v>
          </cell>
          <cell r="E77">
            <v>0.5238677904714287</v>
          </cell>
          <cell r="F77">
            <v>0.6470468067166362</v>
          </cell>
          <cell r="G77">
            <v>2.8748589570683953</v>
          </cell>
          <cell r="H77">
            <v>11.389707207846941</v>
          </cell>
          <cell r="I77">
            <v>215.9002645847329</v>
          </cell>
          <cell r="J77">
            <v>-871.4467758073207</v>
          </cell>
          <cell r="K77">
            <v>24.49314082161148</v>
          </cell>
          <cell r="L77">
            <v>-3.6719222606925057</v>
          </cell>
          <cell r="M77">
            <v>1</v>
          </cell>
          <cell r="N77">
            <v>0</v>
          </cell>
          <cell r="O77">
            <v>0</v>
          </cell>
          <cell r="P77">
            <v>0</v>
          </cell>
          <cell r="Q77">
            <v>0</v>
          </cell>
          <cell r="R77">
            <v>0</v>
          </cell>
          <cell r="S77">
            <v>0</v>
          </cell>
          <cell r="T77">
            <v>0</v>
          </cell>
          <cell r="U77">
            <v>0</v>
          </cell>
          <cell r="V77">
            <v>0</v>
          </cell>
          <cell r="W77">
            <v>0</v>
          </cell>
          <cell r="X77">
            <v>0</v>
          </cell>
          <cell r="Y77">
            <v>0</v>
          </cell>
          <cell r="Z77">
            <v>0</v>
          </cell>
        </row>
        <row r="78">
          <cell r="A78">
            <v>13</v>
          </cell>
          <cell r="B78">
            <v>-10.881163503073008</v>
          </cell>
          <cell r="C78">
            <v>343.3652330834324</v>
          </cell>
          <cell r="D78">
            <v>4.39429318436305</v>
          </cell>
          <cell r="E78">
            <v>0.6665685699044752</v>
          </cell>
          <cell r="F78">
            <v>0.9054221687627384</v>
          </cell>
          <cell r="G78">
            <v>5.479993308329598</v>
          </cell>
          <cell r="H78">
            <v>47.35538622553881</v>
          </cell>
          <cell r="I78">
            <v>-926.6775019852676</v>
          </cell>
          <cell r="J78">
            <v>1149.0106870185014</v>
          </cell>
          <cell r="K78">
            <v>-23.216546681779224</v>
          </cell>
          <cell r="L78">
            <v>4.415820222898823</v>
          </cell>
          <cell r="M78">
            <v>-2.6185333301767852</v>
          </cell>
          <cell r="N78">
            <v>1</v>
          </cell>
          <cell r="O78">
            <v>0</v>
          </cell>
          <cell r="P78">
            <v>0</v>
          </cell>
          <cell r="Q78">
            <v>0</v>
          </cell>
          <cell r="R78">
            <v>0</v>
          </cell>
          <cell r="S78">
            <v>0</v>
          </cell>
          <cell r="T78">
            <v>0</v>
          </cell>
          <cell r="U78">
            <v>0</v>
          </cell>
          <cell r="V78">
            <v>0</v>
          </cell>
          <cell r="W78">
            <v>0</v>
          </cell>
          <cell r="X78">
            <v>0</v>
          </cell>
          <cell r="Y78">
            <v>0</v>
          </cell>
          <cell r="Z78">
            <v>0</v>
          </cell>
        </row>
        <row r="79">
          <cell r="A79">
            <v>14</v>
          </cell>
          <cell r="B79">
            <v>-17.91631765101747</v>
          </cell>
          <cell r="C79">
            <v>537.5615801363494</v>
          </cell>
          <cell r="D79">
            <v>6.7650012283631895</v>
          </cell>
          <cell r="E79">
            <v>1.0421378274886168</v>
          </cell>
          <cell r="F79">
            <v>1.6236181708657966</v>
          </cell>
          <cell r="G79">
            <v>16.757969752727835</v>
          </cell>
          <cell r="H79">
            <v>-818.5533111730684</v>
          </cell>
          <cell r="I79">
            <v>1126.1227978867096</v>
          </cell>
          <cell r="J79">
            <v>-603.5458766940383</v>
          </cell>
          <cell r="K79">
            <v>8.731693485996248</v>
          </cell>
          <cell r="L79">
            <v>-2.1243513086440053</v>
          </cell>
          <cell r="M79">
            <v>2.3782157283544625</v>
          </cell>
          <cell r="N79">
            <v>-2.350700332300236</v>
          </cell>
          <cell r="O79">
            <v>1</v>
          </cell>
          <cell r="P79">
            <v>0</v>
          </cell>
          <cell r="Q79">
            <v>0</v>
          </cell>
          <cell r="R79">
            <v>0</v>
          </cell>
          <cell r="S79">
            <v>0</v>
          </cell>
          <cell r="T79">
            <v>0</v>
          </cell>
          <cell r="U79">
            <v>0</v>
          </cell>
          <cell r="V79">
            <v>0</v>
          </cell>
          <cell r="W79">
            <v>0</v>
          </cell>
          <cell r="X79">
            <v>0</v>
          </cell>
          <cell r="Y79">
            <v>0</v>
          </cell>
          <cell r="Z79">
            <v>0</v>
          </cell>
        </row>
        <row r="80">
          <cell r="A80">
            <v>15</v>
          </cell>
          <cell r="B80">
            <v>-29.12317740087298</v>
          </cell>
          <cell r="C80">
            <v>804.6928201608589</v>
          </cell>
          <cell r="D80">
            <v>9.858698632931857</v>
          </cell>
          <cell r="E80">
            <v>1.556602477056204</v>
          </cell>
          <cell r="F80">
            <v>3.058066317478142</v>
          </cell>
          <cell r="G80">
            <v>136.24644517181207</v>
          </cell>
          <cell r="H80">
            <v>1310.2301455373604</v>
          </cell>
          <cell r="I80">
            <v>-472.3586940239087</v>
          </cell>
          <cell r="J80">
            <v>106.03382734888619</v>
          </cell>
          <cell r="K80">
            <v>-0.9831816422838596</v>
          </cell>
          <cell r="L80">
            <v>0.33448489500226775</v>
          </cell>
          <cell r="M80">
            <v>-0.7600772860180207</v>
          </cell>
          <cell r="N80">
            <v>1.65375869811874</v>
          </cell>
          <cell r="O80">
            <v>-1.972962479821117</v>
          </cell>
          <cell r="P80">
            <v>1</v>
          </cell>
          <cell r="Q80">
            <v>0</v>
          </cell>
          <cell r="R80">
            <v>0</v>
          </cell>
          <cell r="S80">
            <v>0</v>
          </cell>
          <cell r="T80">
            <v>0</v>
          </cell>
          <cell r="U80">
            <v>0</v>
          </cell>
          <cell r="V80">
            <v>0</v>
          </cell>
          <cell r="W80">
            <v>0</v>
          </cell>
          <cell r="X80">
            <v>0</v>
          </cell>
          <cell r="Y80">
            <v>0</v>
          </cell>
          <cell r="Z80">
            <v>0</v>
          </cell>
        </row>
        <row r="81">
          <cell r="A81">
            <v>16</v>
          </cell>
          <cell r="B81">
            <v>-63.34211577320185</v>
          </cell>
          <cell r="C81">
            <v>1528.6248313231897</v>
          </cell>
          <cell r="D81">
            <v>17.963880263392216</v>
          </cell>
          <cell r="E81">
            <v>2.9468396544197244</v>
          </cell>
          <cell r="F81">
            <v>8.770854513443037</v>
          </cell>
          <cell r="G81">
            <v>-481.530065406464</v>
          </cell>
          <cell r="H81">
            <v>-660.0260578407122</v>
          </cell>
          <cell r="I81">
            <v>26.979198539937173</v>
          </cell>
          <cell r="J81">
            <v>8.13954143947642</v>
          </cell>
          <cell r="K81">
            <v>-0.11842721123933118</v>
          </cell>
          <cell r="L81">
            <v>0.029625170451456566</v>
          </cell>
          <cell r="M81">
            <v>0.00442352521300357</v>
          </cell>
          <cell r="N81">
            <v>-0.31059911465819734</v>
          </cell>
          <cell r="O81">
            <v>1.1924708678391605</v>
          </cell>
          <cell r="P81">
            <v>-1.969173590500736</v>
          </cell>
          <cell r="Q81">
            <v>1</v>
          </cell>
          <cell r="R81">
            <v>0</v>
          </cell>
          <cell r="S81">
            <v>0</v>
          </cell>
          <cell r="T81">
            <v>0</v>
          </cell>
          <cell r="U81">
            <v>0</v>
          </cell>
          <cell r="V81">
            <v>0</v>
          </cell>
          <cell r="W81">
            <v>0</v>
          </cell>
          <cell r="X81">
            <v>0</v>
          </cell>
          <cell r="Y81">
            <v>0</v>
          </cell>
          <cell r="Z81">
            <v>0</v>
          </cell>
        </row>
        <row r="82">
          <cell r="A82">
            <v>17</v>
          </cell>
          <cell r="B82">
            <v>-198.3549902469461</v>
          </cell>
          <cell r="C82">
            <v>3562.244079038944</v>
          </cell>
          <cell r="D82">
            <v>38.62044804826341</v>
          </cell>
          <cell r="E82">
            <v>6.820616992412056</v>
          </cell>
          <cell r="F82">
            <v>68.74423835278786</v>
          </cell>
          <cell r="G82">
            <v>407.55440702392747</v>
          </cell>
          <cell r="H82">
            <v>85.23732585328499</v>
          </cell>
          <cell r="I82">
            <v>1.8578860262584191</v>
          </cell>
          <cell r="J82">
            <v>1.578744216784713</v>
          </cell>
          <cell r="K82">
            <v>-0.028522837042858438</v>
          </cell>
          <cell r="L82">
            <v>0.006065550512274359</v>
          </cell>
          <cell r="M82">
            <v>-0.00013343978432546938</v>
          </cell>
          <cell r="N82">
            <v>-0.0028562358153070445</v>
          </cell>
          <cell r="O82">
            <v>-0.20155000959949182</v>
          </cell>
          <cell r="P82">
            <v>1.1257839324457921</v>
          </cell>
          <cell r="Q82">
            <v>-1.8285044679797817</v>
          </cell>
          <cell r="R82">
            <v>1</v>
          </cell>
          <cell r="S82">
            <v>0</v>
          </cell>
          <cell r="T82">
            <v>0</v>
          </cell>
          <cell r="U82">
            <v>0</v>
          </cell>
          <cell r="V82">
            <v>0</v>
          </cell>
          <cell r="W82">
            <v>0</v>
          </cell>
          <cell r="X82">
            <v>0</v>
          </cell>
          <cell r="Y82">
            <v>0</v>
          </cell>
          <cell r="Z82">
            <v>0</v>
          </cell>
        </row>
        <row r="83">
          <cell r="A83">
            <v>18</v>
          </cell>
          <cell r="B83">
            <v>-3475.5230055299126</v>
          </cell>
          <cell r="C83">
            <v>14629.715541233292</v>
          </cell>
          <cell r="D83">
            <v>127.92775545576565</v>
          </cell>
          <cell r="E83">
            <v>27.469802547514384</v>
          </cell>
          <cell r="F83">
            <v>-228.95357713433867</v>
          </cell>
          <cell r="G83">
            <v>-94.74125131087261</v>
          </cell>
          <cell r="H83">
            <v>7.155051079475864</v>
          </cell>
          <cell r="I83">
            <v>0.07486306009465535</v>
          </cell>
          <cell r="J83">
            <v>0.6093287195507399</v>
          </cell>
          <cell r="K83">
            <v>-0.012883330777020035</v>
          </cell>
          <cell r="L83">
            <v>0.002423289598498184</v>
          </cell>
          <cell r="M83">
            <v>-0.0004934375334143353</v>
          </cell>
          <cell r="N83">
            <v>0.000986935105747306</v>
          </cell>
          <cell r="O83">
            <v>-0.011643351155600997</v>
          </cell>
          <cell r="P83">
            <v>-0.14578877957538333</v>
          </cell>
          <cell r="Q83">
            <v>0.9423926938209134</v>
          </cell>
          <cell r="R83">
            <v>-1.780022214524705</v>
          </cell>
          <cell r="S83">
            <v>1</v>
          </cell>
          <cell r="T83">
            <v>0</v>
          </cell>
          <cell r="U83">
            <v>0</v>
          </cell>
          <cell r="V83">
            <v>0</v>
          </cell>
          <cell r="W83">
            <v>0</v>
          </cell>
          <cell r="X83">
            <v>0</v>
          </cell>
          <cell r="Y83">
            <v>0</v>
          </cell>
          <cell r="Z83">
            <v>0</v>
          </cell>
        </row>
        <row r="84">
          <cell r="A84">
            <v>19</v>
          </cell>
          <cell r="B84">
            <v>7598.492346468141</v>
          </cell>
          <cell r="C84">
            <v>-179899.433408376</v>
          </cell>
          <cell r="D84">
            <v>4575.494507945921</v>
          </cell>
          <cell r="E84">
            <v>-380.5352661027293</v>
          </cell>
          <cell r="F84">
            <v>175.25265470287223</v>
          </cell>
          <cell r="G84">
            <v>-1.5175508156873208</v>
          </cell>
          <cell r="H84">
            <v>1.8146016234775444</v>
          </cell>
          <cell r="I84">
            <v>-0.19879570150749842</v>
          </cell>
          <cell r="J84">
            <v>0.35180833010103485</v>
          </cell>
          <cell r="K84">
            <v>-0.008181663128243375</v>
          </cell>
          <cell r="L84">
            <v>0.0014279033858705542</v>
          </cell>
          <cell r="M84">
            <v>-0.00048736506732292503</v>
          </cell>
          <cell r="N84">
            <v>0.0012918047105902831</v>
          </cell>
          <cell r="O84">
            <v>-0.002449929111842263</v>
          </cell>
          <cell r="P84">
            <v>-0.010039720905637563</v>
          </cell>
          <cell r="Q84">
            <v>-0.09900638768316058</v>
          </cell>
          <cell r="R84">
            <v>0.8663668903032121</v>
          </cell>
          <cell r="S84">
            <v>-1.720590381725427</v>
          </cell>
          <cell r="T84">
            <v>1</v>
          </cell>
          <cell r="U84">
            <v>0</v>
          </cell>
          <cell r="V84">
            <v>0</v>
          </cell>
          <cell r="W84">
            <v>0</v>
          </cell>
          <cell r="X84">
            <v>0</v>
          </cell>
          <cell r="Y84">
            <v>0</v>
          </cell>
          <cell r="Z84">
            <v>0</v>
          </cell>
        </row>
        <row r="85">
          <cell r="A85">
            <v>20</v>
          </cell>
          <cell r="B85">
            <v>-4230.412663551492</v>
          </cell>
          <cell r="C85">
            <v>229173.37675369802</v>
          </cell>
          <cell r="D85">
            <v>-8564.793936439606</v>
          </cell>
          <cell r="E85">
            <v>498.5040548038702</v>
          </cell>
          <cell r="F85">
            <v>-32.70700153090782</v>
          </cell>
          <cell r="G85">
            <v>0.01128336860982755</v>
          </cell>
          <cell r="H85">
            <v>0.8402567537601852</v>
          </cell>
          <cell r="I85">
            <v>-0.22949418880212333</v>
          </cell>
          <cell r="J85">
            <v>0.2536654184380062</v>
          </cell>
          <cell r="K85">
            <v>-0.006164025553987652</v>
          </cell>
          <cell r="L85">
            <v>0.00103913950961419</v>
          </cell>
          <cell r="M85">
            <v>-0.00042886026402304484</v>
          </cell>
          <cell r="N85">
            <v>0.0011852962093721268</v>
          </cell>
          <cell r="O85">
            <v>-0.0009483574077839912</v>
          </cell>
          <cell r="P85">
            <v>-0.0016522977580345787</v>
          </cell>
          <cell r="Q85">
            <v>-0.009521503711950667</v>
          </cell>
          <cell r="R85">
            <v>-0.07307269849315079</v>
          </cell>
          <cell r="S85">
            <v>0.7864510421757123</v>
          </cell>
          <cell r="T85">
            <v>-1.6758214993422487</v>
          </cell>
          <cell r="U85">
            <v>1</v>
          </cell>
          <cell r="V85">
            <v>0</v>
          </cell>
          <cell r="W85">
            <v>0</v>
          </cell>
          <cell r="X85">
            <v>0</v>
          </cell>
          <cell r="Y85">
            <v>0</v>
          </cell>
          <cell r="Z85">
            <v>0</v>
          </cell>
        </row>
        <row r="86">
          <cell r="A86">
            <v>21</v>
          </cell>
          <cell r="B86">
            <v>445.62195992053483</v>
          </cell>
          <cell r="C86">
            <v>-76424.4818334793</v>
          </cell>
          <cell r="D86">
            <v>4099.857624621464</v>
          </cell>
          <cell r="E86">
            <v>-171.10969983943306</v>
          </cell>
          <cell r="F86">
            <v>-1.6069813861269524</v>
          </cell>
          <cell r="G86">
            <v>0.18932898117533065</v>
          </cell>
          <cell r="H86">
            <v>0.5501699943415649</v>
          </cell>
          <cell r="I86">
            <v>-0.21286246404886283</v>
          </cell>
          <cell r="J86">
            <v>0.2024737361786367</v>
          </cell>
          <cell r="K86">
            <v>-0.0050118598055038715</v>
          </cell>
          <cell r="L86">
            <v>0.0008326216895994135</v>
          </cell>
          <cell r="M86">
            <v>-0.00036995790089158515</v>
          </cell>
          <cell r="N86">
            <v>0.0010327943250298106</v>
          </cell>
          <cell r="O86">
            <v>-0.0005497409650251755</v>
          </cell>
          <cell r="P86">
            <v>-0.0002586524560400393</v>
          </cell>
          <cell r="Q86">
            <v>-0.002257083566332378</v>
          </cell>
          <cell r="R86">
            <v>-0.008193567910225717</v>
          </cell>
          <cell r="S86">
            <v>-0.053035742525192574</v>
          </cell>
          <cell r="T86">
            <v>0.7284851968722231</v>
          </cell>
          <cell r="U86">
            <v>-1.6356424732527064</v>
          </cell>
          <cell r="V86">
            <v>1</v>
          </cell>
          <cell r="W86">
            <v>0</v>
          </cell>
          <cell r="X86">
            <v>0</v>
          </cell>
          <cell r="Y86">
            <v>0</v>
          </cell>
          <cell r="Z86">
            <v>0</v>
          </cell>
        </row>
        <row r="87">
          <cell r="A87">
            <v>22</v>
          </cell>
          <cell r="B87">
            <v>42.26392609177404</v>
          </cell>
          <cell r="C87">
            <v>1167.6597424587142</v>
          </cell>
          <cell r="D87">
            <v>-293.41010492064413</v>
          </cell>
          <cell r="E87">
            <v>3.288828618048196</v>
          </cell>
          <cell r="F87">
            <v>-0.1824068225865572</v>
          </cell>
          <cell r="G87">
            <v>0.19818602838794658</v>
          </cell>
          <cell r="H87">
            <v>0.4169258454734191</v>
          </cell>
          <cell r="I87">
            <v>-0.18533975535369102</v>
          </cell>
          <cell r="J87">
            <v>0.16659500251256157</v>
          </cell>
          <cell r="K87">
            <v>-0.004156515420385444</v>
          </cell>
          <cell r="L87">
            <v>0.0006861972790486019</v>
          </cell>
          <cell r="M87">
            <v>-0.0003140870042759053</v>
          </cell>
          <cell r="N87">
            <v>0.0008788310212154861</v>
          </cell>
          <cell r="O87">
            <v>-0.0003916705621788534</v>
          </cell>
          <cell r="P87">
            <v>5.395984839290629E-05</v>
          </cell>
          <cell r="Q87">
            <v>-0.0008511436411054549</v>
          </cell>
          <cell r="R87">
            <v>-0.002036754237903248</v>
          </cell>
          <cell r="S87">
            <v>-0.006759980433866866</v>
          </cell>
          <cell r="T87">
            <v>-0.04005915918499967</v>
          </cell>
          <cell r="U87">
            <v>0.6723220320196109</v>
          </cell>
          <cell r="V87">
            <v>-1.5867879857591605</v>
          </cell>
          <cell r="W87">
            <v>1</v>
          </cell>
          <cell r="X87">
            <v>0</v>
          </cell>
          <cell r="Y87">
            <v>0</v>
          </cell>
          <cell r="Z87">
            <v>0</v>
          </cell>
        </row>
        <row r="88">
          <cell r="A88">
            <v>23</v>
          </cell>
          <cell r="B88">
            <v>8.776086184809785</v>
          </cell>
          <cell r="C88">
            <v>368.1625747902034</v>
          </cell>
          <cell r="D88">
            <v>-37.22887639302569</v>
          </cell>
          <cell r="E88">
            <v>0.8922384389623549</v>
          </cell>
          <cell r="F88">
            <v>0.030757512805570594</v>
          </cell>
          <cell r="G88">
            <v>0.17848716046408758</v>
          </cell>
          <cell r="H88">
            <v>0.3390788377449984</v>
          </cell>
          <cell r="I88">
            <v>-0.15967801658761732</v>
          </cell>
          <cell r="J88">
            <v>0.14030501942003545</v>
          </cell>
          <cell r="K88">
            <v>-0.0035131110709581783</v>
          </cell>
          <cell r="L88">
            <v>0.0005783376227502039</v>
          </cell>
          <cell r="M88">
            <v>-0.00026796673151979793</v>
          </cell>
          <cell r="N88">
            <v>0.0007498328401903416</v>
          </cell>
          <cell r="O88">
            <v>-0.00030986695451236905</v>
          </cell>
          <cell r="P88">
            <v>0.00012381302380555306</v>
          </cell>
          <cell r="Q88">
            <v>-0.00046131509313614247</v>
          </cell>
          <cell r="R88">
            <v>-0.0008105252067579552</v>
          </cell>
          <cell r="S88">
            <v>-0.0019697120610492427</v>
          </cell>
          <cell r="T88">
            <v>-0.005912295780587512</v>
          </cell>
          <cell r="U88">
            <v>-0.025884898161840607</v>
          </cell>
          <cell r="V88">
            <v>0.6129329392309537</v>
          </cell>
          <cell r="W88">
            <v>-1.5451942776879624</v>
          </cell>
          <cell r="X88">
            <v>1</v>
          </cell>
          <cell r="Y88">
            <v>0</v>
          </cell>
          <cell r="Z88">
            <v>0</v>
          </cell>
        </row>
        <row r="89">
          <cell r="A89">
            <v>24</v>
          </cell>
          <cell r="B89">
            <v>2.3421246691861057</v>
          </cell>
          <cell r="C89">
            <v>219.03109605266127</v>
          </cell>
          <cell r="D89">
            <v>-9.713104561830956</v>
          </cell>
          <cell r="E89">
            <v>0.48736756121668845</v>
          </cell>
          <cell r="F89">
            <v>0.06583914871157491</v>
          </cell>
          <cell r="G89">
            <v>0.14772515309021209</v>
          </cell>
          <cell r="H89">
            <v>0.27068090238021625</v>
          </cell>
          <cell r="I89">
            <v>-0.1307796330531906</v>
          </cell>
          <cell r="J89">
            <v>0.11387799185152925</v>
          </cell>
          <cell r="K89">
            <v>-0.002856525737206063</v>
          </cell>
          <cell r="L89">
            <v>0.0004695860552963704</v>
          </cell>
          <cell r="M89">
            <v>-0.00021862738689185486</v>
          </cell>
          <cell r="N89">
            <v>0.0006112610467740036</v>
          </cell>
          <cell r="O89">
            <v>-0.0002443877443714806</v>
          </cell>
          <cell r="P89">
            <v>0.00012431194240772754</v>
          </cell>
          <cell r="Q89">
            <v>-0.0003005691412807965</v>
          </cell>
          <cell r="R89">
            <v>-0.00043376400042985933</v>
          </cell>
          <cell r="S89">
            <v>-0.0008878577591318431</v>
          </cell>
          <cell r="T89">
            <v>-0.0018574394678876071</v>
          </cell>
          <cell r="U89">
            <v>-0.004242400562511073</v>
          </cell>
          <cell r="V89">
            <v>-0.015137941065914108</v>
          </cell>
          <cell r="W89">
            <v>0.5478597048817933</v>
          </cell>
          <cell r="X89">
            <v>-1.4778203668731797</v>
          </cell>
          <cell r="Y89">
            <v>1</v>
          </cell>
          <cell r="Z89">
            <v>0</v>
          </cell>
        </row>
        <row r="90">
          <cell r="A90">
            <v>25</v>
          </cell>
          <cell r="B90">
            <v>1.3684115404571457</v>
          </cell>
          <cell r="C90">
            <v>1065.277838371152</v>
          </cell>
          <cell r="D90">
            <v>-16.76838220717218</v>
          </cell>
          <cell r="E90">
            <v>2.252456178519541</v>
          </cell>
          <cell r="F90">
            <v>0.4994058008885217</v>
          </cell>
          <cell r="G90">
            <v>0.8794065371699693</v>
          </cell>
          <cell r="H90">
            <v>1.5895209224215692</v>
          </cell>
          <cell r="I90">
            <v>-0.787870478112064</v>
          </cell>
          <cell r="J90">
            <v>0.6836164651618228</v>
          </cell>
          <cell r="K90">
            <v>-0.017190905402064666</v>
          </cell>
          <cell r="L90">
            <v>0.0028206553310114193</v>
          </cell>
          <cell r="M90">
            <v>-0.0013148956999951636</v>
          </cell>
          <cell r="N90">
            <v>0.0036602293960809216</v>
          </cell>
          <cell r="O90">
            <v>-0.0014210745172364859</v>
          </cell>
          <cell r="P90">
            <v>0.0008270239354331014</v>
          </cell>
          <cell r="Q90">
            <v>-0.0014902230041656719</v>
          </cell>
          <cell r="R90">
            <v>-0.0017973659300395313</v>
          </cell>
          <cell r="S90">
            <v>-0.0032073676710446257</v>
          </cell>
          <cell r="T90">
            <v>-0.004834803096499586</v>
          </cell>
          <cell r="U90">
            <v>-0.006552260042552938</v>
          </cell>
          <cell r="V90">
            <v>-0.01100701240587909</v>
          </cell>
          <cell r="W90">
            <v>-0.0026654271938309085</v>
          </cell>
          <cell r="X90">
            <v>0.47782036687317975</v>
          </cell>
          <cell r="Y90">
            <v>-1</v>
          </cell>
          <cell r="Z90">
            <v>1</v>
          </cell>
        </row>
        <row r="95">
          <cell r="B95">
            <v>0.15555526742795467</v>
          </cell>
          <cell r="C95">
            <v>0.1343891617241231</v>
          </cell>
          <cell r="D95">
            <v>0.12654489091111765</v>
          </cell>
          <cell r="E95">
            <v>0.1337695915572515</v>
          </cell>
          <cell r="F95">
            <v>0.18520949717973306</v>
          </cell>
          <cell r="G95">
            <v>0.2866462733448111</v>
          </cell>
          <cell r="H95">
            <v>0.3908355887004328</v>
          </cell>
          <cell r="I95">
            <v>0.5045149246949312</v>
          </cell>
          <cell r="J95">
            <v>0.5868485519920615</v>
          </cell>
          <cell r="K95">
            <v>0.6216657445309487</v>
          </cell>
          <cell r="L95">
            <v>0.5960514407525423</v>
          </cell>
          <cell r="M95">
            <v>0.5312712162351333</v>
          </cell>
          <cell r="N95">
            <v>0.45512565654420806</v>
          </cell>
          <cell r="O95">
            <v>0.3782598630142258</v>
          </cell>
          <cell r="P95">
            <v>0.3088414267499557</v>
          </cell>
          <cell r="Q95">
            <v>0.250728975100767</v>
          </cell>
          <cell r="R95">
            <v>0.20128759367816113</v>
          </cell>
          <cell r="S95">
            <v>0.16109932194009477</v>
          </cell>
          <cell r="T95">
            <v>0.12864580050261482</v>
          </cell>
          <cell r="U95">
            <v>0.10273637028172189</v>
          </cell>
          <cell r="V95">
            <v>0.08201828819169883</v>
          </cell>
          <cell r="W95">
            <v>0.06546835110762271</v>
          </cell>
          <cell r="X95">
            <v>0.05225435346046229</v>
          </cell>
          <cell r="Y95">
            <v>0.041886330202148214</v>
          </cell>
          <cell r="Z95">
            <v>0</v>
          </cell>
        </row>
        <row r="100">
          <cell r="B100">
            <v>1.0000000000000202</v>
          </cell>
          <cell r="C100">
            <v>0</v>
          </cell>
          <cell r="D100">
            <v>-1.1969409986912352E-16</v>
          </cell>
          <cell r="E100">
            <v>-1.3465586235276395E-16</v>
          </cell>
          <cell r="F100">
            <v>-2.445313055919984E-16</v>
          </cell>
          <cell r="G100">
            <v>-2.9841702828698467E-16</v>
          </cell>
          <cell r="H100">
            <v>-4.330728906397486E-16</v>
          </cell>
          <cell r="I100">
            <v>3.9169426627093053E-16</v>
          </cell>
          <cell r="J100">
            <v>-2.2442643725460655E-16</v>
          </cell>
          <cell r="K100">
            <v>7.276325895364198E-17</v>
          </cell>
          <cell r="L100">
            <v>5.844438470172046E-18</v>
          </cell>
          <cell r="M100">
            <v>4.1378624368818087E-17</v>
          </cell>
          <cell r="N100">
            <v>-6.317837986255982E-17</v>
          </cell>
          <cell r="O100">
            <v>5.08466146904968E-18</v>
          </cell>
          <cell r="P100">
            <v>-8.047791773426908E-17</v>
          </cell>
          <cell r="Q100">
            <v>-8.941990859363231E-17</v>
          </cell>
          <cell r="R100">
            <v>3.8456405133732064E-17</v>
          </cell>
          <cell r="S100">
            <v>3.810573882552174E-17</v>
          </cell>
          <cell r="T100">
            <v>-6.387971247898046E-17</v>
          </cell>
          <cell r="U100">
            <v>-2.015046982071277E-18</v>
          </cell>
        </row>
        <row r="101">
          <cell r="B101">
            <v>3.335571159677796</v>
          </cell>
          <cell r="C101">
            <v>1.0000000000000204</v>
          </cell>
          <cell r="D101">
            <v>1.8497225424962473E-15</v>
          </cell>
          <cell r="E101">
            <v>-3.4925312639909346E-16</v>
          </cell>
          <cell r="F101">
            <v>-3.4210724716700604E-16</v>
          </cell>
          <cell r="G101">
            <v>-5.742037523987934E-16</v>
          </cell>
          <cell r="H101">
            <v>-1.3021609409916528E-16</v>
          </cell>
          <cell r="I101">
            <v>1.4990856764770678E-16</v>
          </cell>
          <cell r="J101">
            <v>-3.0598544723370866E-16</v>
          </cell>
          <cell r="K101">
            <v>2.4995087689693067E-16</v>
          </cell>
          <cell r="L101">
            <v>6.211682881611253E-17</v>
          </cell>
          <cell r="M101">
            <v>1.5899237077558668E-16</v>
          </cell>
          <cell r="N101">
            <v>-1.8303570720917563E-16</v>
          </cell>
          <cell r="O101">
            <v>4.8668394249751466E-17</v>
          </cell>
          <cell r="P101">
            <v>-2.26299944236202E-16</v>
          </cell>
          <cell r="Q101">
            <v>-2.669378296957512E-16</v>
          </cell>
          <cell r="R101">
            <v>1.4137550665717464E-16</v>
          </cell>
          <cell r="S101">
            <v>1.1702237777132757E-16</v>
          </cell>
          <cell r="T101">
            <v>-1.8034223394370914E-16</v>
          </cell>
          <cell r="U101">
            <v>7.560656904277466E-18</v>
          </cell>
        </row>
        <row r="102">
          <cell r="B102">
            <v>15.738034858571718</v>
          </cell>
          <cell r="C102">
            <v>6.173823423285609</v>
          </cell>
          <cell r="D102">
            <v>1.0000000000000109</v>
          </cell>
          <cell r="E102">
            <v>-7.734144487730337E-16</v>
          </cell>
          <cell r="F102">
            <v>6.270927963024597E-16</v>
          </cell>
          <cell r="G102">
            <v>-9.48715389557585E-16</v>
          </cell>
          <cell r="H102">
            <v>4.477537579659608E-15</v>
          </cell>
          <cell r="I102">
            <v>-4.574451920906353E-15</v>
          </cell>
          <cell r="J102">
            <v>4.413403089128675E-16</v>
          </cell>
          <cell r="K102">
            <v>1.1342303417970626E-15</v>
          </cell>
          <cell r="L102">
            <v>3.3302428046062447E-16</v>
          </cell>
          <cell r="M102">
            <v>7.788777572256687E-16</v>
          </cell>
          <cell r="N102">
            <v>-8.099948618906772E-16</v>
          </cell>
          <cell r="O102">
            <v>3.1330886300111533E-16</v>
          </cell>
          <cell r="P102">
            <v>-9.746067209200728E-16</v>
          </cell>
          <cell r="Q102">
            <v>-1.2059659571316622E-15</v>
          </cell>
          <cell r="R102">
            <v>7.242446726993181E-16</v>
          </cell>
          <cell r="S102">
            <v>5.864742856328687E-16</v>
          </cell>
          <cell r="T102">
            <v>-7.871914874796787E-16</v>
          </cell>
          <cell r="U102">
            <v>9.38263842952544E-17</v>
          </cell>
        </row>
        <row r="103">
          <cell r="B103">
            <v>-1806.3408711780278</v>
          </cell>
          <cell r="C103">
            <v>-555.3087922788644</v>
          </cell>
          <cell r="D103">
            <v>-7.704428371726823</v>
          </cell>
          <cell r="E103">
            <v>1.0000000000001825</v>
          </cell>
          <cell r="F103">
            <v>1.6311839402342174E-13</v>
          </cell>
          <cell r="G103">
            <v>2.850830647840536E-13</v>
          </cell>
          <cell r="H103">
            <v>2.6936982499280654E-14</v>
          </cell>
          <cell r="I103">
            <v>-2.6188732985411748E-14</v>
          </cell>
          <cell r="J103">
            <v>1.4590865520443688E-13</v>
          </cell>
          <cell r="K103">
            <v>-1.3468491249640327E-13</v>
          </cell>
          <cell r="L103">
            <v>-3.367122812410082E-14</v>
          </cell>
          <cell r="M103">
            <v>-8.604869409492432E-14</v>
          </cell>
          <cell r="N103">
            <v>9.876893583069574E-14</v>
          </cell>
          <cell r="O103">
            <v>-2.6936982499280654E-14</v>
          </cell>
          <cell r="P103">
            <v>1.2196467076063185E-13</v>
          </cell>
          <cell r="Q103">
            <v>1.4441215617669907E-13</v>
          </cell>
          <cell r="R103">
            <v>-7.706969992849743E-14</v>
          </cell>
          <cell r="S103">
            <v>-6.36012086788571E-14</v>
          </cell>
          <cell r="T103">
            <v>9.727243680295793E-14</v>
          </cell>
          <cell r="U103">
            <v>-4.489497083213443E-15</v>
          </cell>
        </row>
        <row r="104">
          <cell r="B104">
            <v>0.5380388237564504</v>
          </cell>
          <cell r="C104">
            <v>-0.3263361324160825</v>
          </cell>
          <cell r="D104">
            <v>0.9319645966222022</v>
          </cell>
          <cell r="E104">
            <v>-1.4535519419208853</v>
          </cell>
          <cell r="F104">
            <v>0.9999999999999994</v>
          </cell>
          <cell r="G104">
            <v>1.3020913179390694E-14</v>
          </cell>
          <cell r="H104">
            <v>-6.582856876834816E-15</v>
          </cell>
          <cell r="I104">
            <v>-4.772849698348085E-15</v>
          </cell>
          <cell r="J104">
            <v>1.060942669236068E-15</v>
          </cell>
          <cell r="K104">
            <v>-3.870630735533162E-16</v>
          </cell>
          <cell r="L104">
            <v>-3.7035531498266944E-16</v>
          </cell>
          <cell r="M104">
            <v>-4.399709756936975E-16</v>
          </cell>
          <cell r="N104">
            <v>-2.896011485578768E-16</v>
          </cell>
          <cell r="O104">
            <v>-3.090935335569647E-16</v>
          </cell>
          <cell r="P104">
            <v>-4.706018664065499E-16</v>
          </cell>
          <cell r="Q104">
            <v>-6.293255728276939E-16</v>
          </cell>
          <cell r="R104">
            <v>4.176939642661685E-17</v>
          </cell>
          <cell r="S104">
            <v>3.8984769998175727E-17</v>
          </cell>
          <cell r="T104">
            <v>-3.118781599854058E-16</v>
          </cell>
          <cell r="U104">
            <v>-1.2809281570829167E-16</v>
          </cell>
        </row>
        <row r="105">
          <cell r="B105">
            <v>3.0521430849756325E-05</v>
          </cell>
          <cell r="C105">
            <v>-0.0007196088573494116</v>
          </cell>
          <cell r="D105">
            <v>-0.003114976293055878</v>
          </cell>
          <cell r="E105">
            <v>0.2465494076714166</v>
          </cell>
          <cell r="F105">
            <v>-0.6142277308724211</v>
          </cell>
          <cell r="G105">
            <v>0.9999999999999915</v>
          </cell>
          <cell r="H105">
            <v>3.677394980445737E-15</v>
          </cell>
          <cell r="I105">
            <v>1.8046959719114923E-15</v>
          </cell>
          <cell r="J105">
            <v>-1.0705308090880439E-17</v>
          </cell>
          <cell r="K105">
            <v>5.097186465998755E-17</v>
          </cell>
          <cell r="L105">
            <v>9.087346754417827E-17</v>
          </cell>
          <cell r="M105">
            <v>3.406234392552867E-17</v>
          </cell>
          <cell r="N105">
            <v>7.90732983985487E-18</v>
          </cell>
          <cell r="O105">
            <v>4.939039869201657E-17</v>
          </cell>
          <cell r="P105">
            <v>2.7249875140422936E-17</v>
          </cell>
          <cell r="Q105">
            <v>8.868374543468001E-17</v>
          </cell>
          <cell r="R105">
            <v>-1.3381635113600549E-18</v>
          </cell>
          <cell r="S105">
            <v>3.150766813111402E-17</v>
          </cell>
          <cell r="T105">
            <v>4.926874746371111E-17</v>
          </cell>
          <cell r="U105">
            <v>1.3564111956058738E-17</v>
          </cell>
        </row>
        <row r="106">
          <cell r="B106">
            <v>-0.00022336973753087</v>
          </cell>
          <cell r="C106">
            <v>-0.0013493728553294563</v>
          </cell>
          <cell r="D106">
            <v>-0.0038629292749733845</v>
          </cell>
          <cell r="E106">
            <v>-0.0295633476804967</v>
          </cell>
          <cell r="F106">
            <v>0.15967754243363272</v>
          </cell>
          <cell r="G106">
            <v>-1.1321433478017957</v>
          </cell>
          <cell r="H106">
            <v>1.0000000000000002</v>
          </cell>
          <cell r="I106">
            <v>-2.7638218782413096E-15</v>
          </cell>
          <cell r="J106">
            <v>1.0257683402589562E-15</v>
          </cell>
          <cell r="K106">
            <v>3.126657158275133E-17</v>
          </cell>
          <cell r="L106">
            <v>7.663375387929248E-19</v>
          </cell>
          <cell r="M106">
            <v>7.086067775371911E-17</v>
          </cell>
          <cell r="N106">
            <v>1.4448017064709274E-16</v>
          </cell>
          <cell r="O106">
            <v>3.116439324424561E-18</v>
          </cell>
          <cell r="P106">
            <v>1.322698591956588E-16</v>
          </cell>
          <cell r="Q106">
            <v>2.78435972428096E-17</v>
          </cell>
          <cell r="R106">
            <v>-2.6872903027005228E-17</v>
          </cell>
          <cell r="S106">
            <v>-3.709073687757756E-17</v>
          </cell>
          <cell r="T106">
            <v>-1.76513079768637E-17</v>
          </cell>
          <cell r="U106">
            <v>3.374439629151512E-17</v>
          </cell>
        </row>
        <row r="107">
          <cell r="B107">
            <v>-0.012324332542587515</v>
          </cell>
          <cell r="C107">
            <v>-0.0105959703369941</v>
          </cell>
          <cell r="D107">
            <v>-0.009985325155211828</v>
          </cell>
          <cell r="E107">
            <v>-0.011306329574318501</v>
          </cell>
          <cell r="F107">
            <v>-0.0011017043064977953</v>
          </cell>
          <cell r="G107">
            <v>0.47422752259460316</v>
          </cell>
          <cell r="H107">
            <v>-1.275220276986762</v>
          </cell>
          <cell r="I107">
            <v>0.9999999999999983</v>
          </cell>
          <cell r="J107">
            <v>2.1364302252058868E-16</v>
          </cell>
          <cell r="K107">
            <v>-1.1873604338042935E-16</v>
          </cell>
          <cell r="L107">
            <v>-4.4262638410679644E-17</v>
          </cell>
          <cell r="M107">
            <v>-3.1696293464633953E-17</v>
          </cell>
          <cell r="N107">
            <v>-8.05519385323122E-17</v>
          </cell>
          <cell r="O107">
            <v>4.016986020147296E-17</v>
          </cell>
          <cell r="P107">
            <v>-1.497805240191526E-16</v>
          </cell>
          <cell r="Q107">
            <v>-5.431268267995383E-17</v>
          </cell>
          <cell r="R107">
            <v>9.398231443363486E-17</v>
          </cell>
          <cell r="S107">
            <v>-4.583911594311481E-17</v>
          </cell>
          <cell r="T107">
            <v>-1.711387628960867E-17</v>
          </cell>
          <cell r="U107">
            <v>-1.0178890990675131E-17</v>
          </cell>
        </row>
        <row r="108">
          <cell r="B108">
            <v>0.01567387351993509</v>
          </cell>
          <cell r="C108">
            <v>0.013584430550716217</v>
          </cell>
          <cell r="D108">
            <v>0.012871230648062134</v>
          </cell>
          <cell r="E108">
            <v>0.014486804654542778</v>
          </cell>
          <cell r="F108">
            <v>-0.008319437717229589</v>
          </cell>
          <cell r="G108">
            <v>-0.2711497902427567</v>
          </cell>
          <cell r="H108">
            <v>1.4387487694004328</v>
          </cell>
          <cell r="I108">
            <v>-2.551812986491891</v>
          </cell>
          <cell r="J108">
            <v>0.9999999999999997</v>
          </cell>
          <cell r="K108">
            <v>5.259663240543118E-16</v>
          </cell>
          <cell r="L108">
            <v>-1.0535925751416694E-17</v>
          </cell>
          <cell r="M108">
            <v>1.270074725701413E-16</v>
          </cell>
          <cell r="N108">
            <v>-2.0566957030281912E-16</v>
          </cell>
          <cell r="O108">
            <v>-3.0376664704741E-16</v>
          </cell>
          <cell r="P108">
            <v>3.195820629455979E-16</v>
          </cell>
          <cell r="Q108">
            <v>5.1526901650801564E-17</v>
          </cell>
          <cell r="R108">
            <v>-1.7263241143677945E-16</v>
          </cell>
          <cell r="S108">
            <v>2.676862886207861E-16</v>
          </cell>
          <cell r="T108">
            <v>6.203977286009262E-17</v>
          </cell>
          <cell r="U108">
            <v>-1.4315717932915092E-16</v>
          </cell>
        </row>
        <row r="109">
          <cell r="B109">
            <v>-0.05040768172260037</v>
          </cell>
          <cell r="C109">
            <v>-0.04372465808468576</v>
          </cell>
          <cell r="D109">
            <v>-0.04135787294724196</v>
          </cell>
          <cell r="E109">
            <v>-0.045703262993371734</v>
          </cell>
          <cell r="F109">
            <v>0.022880230448856682</v>
          </cell>
          <cell r="G109">
            <v>0.6662431531595552</v>
          </cell>
          <cell r="H109">
            <v>-4.768248115813965</v>
          </cell>
          <cell r="I109">
            <v>11.44146732211982</v>
          </cell>
          <cell r="J109">
            <v>-6.850351476189658</v>
          </cell>
          <cell r="K109">
            <v>0.999999999999997</v>
          </cell>
          <cell r="L109">
            <v>9.482232504959643E-17</v>
          </cell>
          <cell r="M109">
            <v>-1.4309550871120916E-15</v>
          </cell>
          <cell r="N109">
            <v>1.6809412167883004E-15</v>
          </cell>
          <cell r="O109">
            <v>1.8662757612034207E-15</v>
          </cell>
          <cell r="P109">
            <v>-1.7111119565768083E-15</v>
          </cell>
          <cell r="Q109">
            <v>-4.310105684072565E-17</v>
          </cell>
          <cell r="R109">
            <v>6.508259582949573E-16</v>
          </cell>
          <cell r="S109">
            <v>-1.624909842895357E-15</v>
          </cell>
          <cell r="T109">
            <v>-2.715366580965716E-16</v>
          </cell>
          <cell r="U109">
            <v>1.060285998281851E-15</v>
          </cell>
        </row>
        <row r="110">
          <cell r="B110">
            <v>-3.3964202377842563</v>
          </cell>
          <cell r="C110">
            <v>-2.9444240379571407</v>
          </cell>
          <cell r="D110">
            <v>-2.788635108755636</v>
          </cell>
          <cell r="E110">
            <v>-3.1230644478480465</v>
          </cell>
          <cell r="F110">
            <v>1.7578743931948415</v>
          </cell>
          <cell r="G110">
            <v>54.59034335855545</v>
          </cell>
          <cell r="H110">
            <v>-313.01349770001696</v>
          </cell>
          <cell r="I110">
            <v>601.9195537932038</v>
          </cell>
          <cell r="J110">
            <v>-267.11593746994237</v>
          </cell>
          <cell r="K110">
            <v>9.81819799836695</v>
          </cell>
          <cell r="L110">
            <v>1.0000000000000038</v>
          </cell>
          <cell r="M110">
            <v>-3.909227259118898E-14</v>
          </cell>
          <cell r="N110">
            <v>5.863840888678347E-14</v>
          </cell>
          <cell r="O110">
            <v>7.818454518237796E-14</v>
          </cell>
          <cell r="P110">
            <v>-7.818454518237796E-14</v>
          </cell>
          <cell r="Q110">
            <v>-9.773068147797245E-15</v>
          </cell>
          <cell r="R110">
            <v>3.909227259118898E-14</v>
          </cell>
          <cell r="S110">
            <v>-6.841147703458071E-14</v>
          </cell>
          <cell r="T110">
            <v>-1.4659602221695868E-14</v>
          </cell>
          <cell r="U110">
            <v>3.909227259118898E-14</v>
          </cell>
        </row>
        <row r="111">
          <cell r="B111">
            <v>5.058560738123662</v>
          </cell>
          <cell r="C111">
            <v>4.3693354008446965</v>
          </cell>
          <cell r="D111">
            <v>4.139949439938211</v>
          </cell>
          <cell r="E111">
            <v>4.761856796508359</v>
          </cell>
          <cell r="F111">
            <v>-1.8176286834097188</v>
          </cell>
          <cell r="G111">
            <v>-144.52542615235757</v>
          </cell>
          <cell r="H111">
            <v>485.1518067592693</v>
          </cell>
          <cell r="I111">
            <v>-509.7051257335218</v>
          </cell>
          <cell r="J111">
            <v>58.40444220953856</v>
          </cell>
          <cell r="K111">
            <v>11.558518968479284</v>
          </cell>
          <cell r="L111">
            <v>3.6719222606925173</v>
          </cell>
          <cell r="M111">
            <v>1.0000000000000084</v>
          </cell>
          <cell r="N111">
            <v>1.0702324964137907E-14</v>
          </cell>
          <cell r="O111">
            <v>-3.210697489241373E-14</v>
          </cell>
          <cell r="P111">
            <v>6.421394978482745E-14</v>
          </cell>
          <cell r="Q111">
            <v>2.1404649928275815E-14</v>
          </cell>
          <cell r="R111">
            <v>-4.280929985655163E-14</v>
          </cell>
          <cell r="S111">
            <v>3.210697489241373E-14</v>
          </cell>
          <cell r="T111">
            <v>1.0702324964137907E-14</v>
          </cell>
          <cell r="U111">
            <v>-5.351162482068954E-15</v>
          </cell>
        </row>
        <row r="112">
          <cell r="B112">
            <v>-2.3786661393892863</v>
          </cell>
          <cell r="C112">
            <v>-1.9796614348966923</v>
          </cell>
          <cell r="D112">
            <v>-1.7504220596850553</v>
          </cell>
          <cell r="E112">
            <v>-1.225510447679509</v>
          </cell>
          <cell r="F112">
            <v>-8.553630400744849</v>
          </cell>
          <cell r="G112">
            <v>195.10515262297332</v>
          </cell>
          <cell r="H112">
            <v>-340.3157845528454</v>
          </cell>
          <cell r="I112">
            <v>131.72085643565273</v>
          </cell>
          <cell r="J112">
            <v>24.417745242356464</v>
          </cell>
          <cell r="K112">
            <v>10.127516574608514</v>
          </cell>
          <cell r="L112">
            <v>5.199230602542579</v>
          </cell>
          <cell r="M112">
            <v>2.6185333301767675</v>
          </cell>
          <cell r="N112">
            <v>0.9999999999999631</v>
          </cell>
          <cell r="O112">
            <v>0</v>
          </cell>
          <cell r="P112">
            <v>-3.851129470688268E-14</v>
          </cell>
          <cell r="Q112">
            <v>-1.2837098235627559E-14</v>
          </cell>
          <cell r="R112">
            <v>1.7116130980836745E-14</v>
          </cell>
          <cell r="S112">
            <v>0</v>
          </cell>
          <cell r="T112">
            <v>0</v>
          </cell>
          <cell r="U112">
            <v>-8.558065490418372E-15</v>
          </cell>
        </row>
        <row r="113">
          <cell r="B113">
            <v>-1.2854924513886428</v>
          </cell>
          <cell r="C113">
            <v>-1.9686568719510393</v>
          </cell>
          <cell r="D113">
            <v>-3.8691389826646336</v>
          </cell>
          <cell r="E113">
            <v>-25.978151131271265</v>
          </cell>
          <cell r="F113">
            <v>123.34391555507517</v>
          </cell>
          <cell r="G113">
            <v>-728.6693931855172</v>
          </cell>
          <cell r="H113">
            <v>545.8669870258489</v>
          </cell>
          <cell r="I113">
            <v>34.35120997053562</v>
          </cell>
          <cell r="J113">
            <v>14.413393518262465</v>
          </cell>
          <cell r="K113">
            <v>8.443713250348594</v>
          </cell>
          <cell r="L113">
            <v>5.613561140072633</v>
          </cell>
          <cell r="M113">
            <v>3.7771714410313875</v>
          </cell>
          <cell r="N113">
            <v>2.350700332300318</v>
          </cell>
          <cell r="O113">
            <v>0.9999999999999996</v>
          </cell>
          <cell r="P113">
            <v>7.563551923695539E-14</v>
          </cell>
          <cell r="Q113">
            <v>1.2605919872825897E-14</v>
          </cell>
          <cell r="R113">
            <v>-1.2605919872825897E-14</v>
          </cell>
          <cell r="S113">
            <v>-2.5211839745651795E-14</v>
          </cell>
          <cell r="T113">
            <v>-1.2605919872825897E-14</v>
          </cell>
          <cell r="U113">
            <v>1.8908879809238847E-14</v>
          </cell>
        </row>
        <row r="114">
          <cell r="B114">
            <v>-0.9002717699724813</v>
          </cell>
          <cell r="C114">
            <v>-1.0924554589925248</v>
          </cell>
          <cell r="D114">
            <v>-2.011800833127153</v>
          </cell>
          <cell r="E114">
            <v>-43.45312612830901</v>
          </cell>
          <cell r="F114">
            <v>127.32722398725305</v>
          </cell>
          <cell r="G114">
            <v>-287.8708755715371</v>
          </cell>
          <cell r="H114">
            <v>43.39080589319305</v>
          </cell>
          <cell r="I114">
            <v>15.3770812590094</v>
          </cell>
          <cell r="J114">
            <v>9.025195096053423</v>
          </cell>
          <cell r="K114">
            <v>6.3951712513436485</v>
          </cell>
          <cell r="L114">
            <v>4.933532486439252</v>
          </cell>
          <cell r="M114">
            <v>3.881872547931042</v>
          </cell>
          <cell r="N114">
            <v>2.9840848588126643</v>
          </cell>
          <cell r="O114">
            <v>1.9729624798211083</v>
          </cell>
          <cell r="P114">
            <v>1.0000000000000053</v>
          </cell>
          <cell r="Q114">
            <v>-1.2956833977992528E-14</v>
          </cell>
          <cell r="R114">
            <v>0</v>
          </cell>
          <cell r="S114">
            <v>-9.717625483494395E-15</v>
          </cell>
          <cell r="T114">
            <v>-9.717625483494395E-15</v>
          </cell>
          <cell r="U114">
            <v>0</v>
          </cell>
        </row>
        <row r="115">
          <cell r="B115">
            <v>-0.7673388599376477</v>
          </cell>
          <cell r="C115">
            <v>-1.6801011353251474</v>
          </cell>
          <cell r="D115">
            <v>-7.1512760455783875</v>
          </cell>
          <cell r="E115">
            <v>54.29438747600698</v>
          </cell>
          <cell r="F115">
            <v>-98.10389215656242</v>
          </cell>
          <cell r="G115">
            <v>85.44846175312045</v>
          </cell>
          <cell r="H115">
            <v>18.093798198579897</v>
          </cell>
          <cell r="I115">
            <v>9.79880071281092</v>
          </cell>
          <cell r="J115">
            <v>6.872946203632945</v>
          </cell>
          <cell r="K115">
            <v>5.446349971136433</v>
          </cell>
          <cell r="L115">
            <v>4.589982166704765</v>
          </cell>
          <cell r="M115">
            <v>3.9488046056545687</v>
          </cell>
          <cell r="N115">
            <v>3.3836385451573423</v>
          </cell>
          <cell r="O115">
            <v>2.692634742473436</v>
          </cell>
          <cell r="P115">
            <v>1.9691735905007515</v>
          </cell>
          <cell r="Q115">
            <v>1.000000000000022</v>
          </cell>
          <cell r="R115">
            <v>0</v>
          </cell>
          <cell r="S115">
            <v>2.519246944447702E-15</v>
          </cell>
          <cell r="T115">
            <v>1.0076987777790809E-14</v>
          </cell>
          <cell r="U115">
            <v>5.038493888895404E-15</v>
          </cell>
        </row>
        <row r="116">
          <cell r="B116">
            <v>-8.832275486237332</v>
          </cell>
          <cell r="C116">
            <v>7.48149878809586</v>
          </cell>
          <cell r="D116">
            <v>-60.12149442126678</v>
          </cell>
          <cell r="E116">
            <v>138.11368140650325</v>
          </cell>
          <cell r="F116">
            <v>-129.9093896244891</v>
          </cell>
          <cell r="G116">
            <v>22.179320687482022</v>
          </cell>
          <cell r="H116">
            <v>9.971198651575236</v>
          </cell>
          <cell r="I116">
            <v>6.683721078537921</v>
          </cell>
          <cell r="J116">
            <v>5.235418667562379</v>
          </cell>
          <cell r="K116">
            <v>4.46036370604875</v>
          </cell>
          <cell r="L116">
            <v>3.9793992566647667</v>
          </cell>
          <cell r="M116">
            <v>3.6191586510197062</v>
          </cell>
          <cell r="N116">
            <v>3.304203321098708</v>
          </cell>
          <cell r="O116">
            <v>2.9039152077487502</v>
          </cell>
          <cell r="P116">
            <v>2.474858776012636</v>
          </cell>
          <cell r="Q116">
            <v>1.8285044679798381</v>
          </cell>
          <cell r="R116">
            <v>0.999999999999999</v>
          </cell>
          <cell r="S116">
            <v>0</v>
          </cell>
          <cell r="T116">
            <v>2.634099157632491E-14</v>
          </cell>
          <cell r="U116">
            <v>1.3170495788162456E-14</v>
          </cell>
        </row>
        <row r="117">
          <cell r="B117">
            <v>2391.610832984749</v>
          </cell>
          <cell r="C117">
            <v>-225.34882714076588</v>
          </cell>
          <cell r="D117">
            <v>196.20678836943534</v>
          </cell>
          <cell r="E117">
            <v>-148.651898890078</v>
          </cell>
          <cell r="F117">
            <v>50.83691293567212</v>
          </cell>
          <cell r="G117">
            <v>11.085117076446188</v>
          </cell>
          <cell r="H117">
            <v>6.715203538058896</v>
          </cell>
          <cell r="I117">
            <v>5.091924022370087</v>
          </cell>
          <cell r="J117">
            <v>4.280175047058822</v>
          </cell>
          <cell r="K117">
            <v>3.8224025903156367</v>
          </cell>
          <cell r="L117">
            <v>3.536725033896414</v>
          </cell>
          <cell r="M117">
            <v>3.328679696766267</v>
          </cell>
          <cell r="N117">
            <v>3.1542682534151774</v>
          </cell>
          <cell r="O117">
            <v>2.930793413690259</v>
          </cell>
          <cell r="P117">
            <v>2.6953575741359947</v>
          </cell>
          <cell r="Q117">
            <v>2.3123858785404994</v>
          </cell>
          <cell r="R117">
            <v>1.7800222145248028</v>
          </cell>
          <cell r="S117">
            <v>1.0000000000001001</v>
          </cell>
          <cell r="T117">
            <v>-1.8569100290029663E-13</v>
          </cell>
          <cell r="U117">
            <v>-1.5474250241691385E-14</v>
          </cell>
        </row>
        <row r="118">
          <cell r="B118">
            <v>-162888.57061581223</v>
          </cell>
          <cell r="C118">
            <v>-60000.64339810438</v>
          </cell>
          <cell r="D118">
            <v>-7281.685700488576</v>
          </cell>
          <cell r="E118">
            <v>265.15198595042386</v>
          </cell>
          <cell r="F118">
            <v>15.4223201094763</v>
          </cell>
          <cell r="G118">
            <v>7.008762615593766</v>
          </cell>
          <cell r="H118">
            <v>4.9895015282935695</v>
          </cell>
          <cell r="I118">
            <v>4.091346280365869</v>
          </cell>
          <cell r="J118">
            <v>3.605503916173056</v>
          </cell>
          <cell r="K118">
            <v>3.323306038169337</v>
          </cell>
          <cell r="L118">
            <v>3.149002259481584</v>
          </cell>
          <cell r="M118">
            <v>3.028063374390231</v>
          </cell>
          <cell r="N118">
            <v>2.933979715176557</v>
          </cell>
          <cell r="O118">
            <v>2.815684931144299</v>
          </cell>
          <cell r="P118">
            <v>2.6984711004885416</v>
          </cell>
          <cell r="Q118">
            <v>2.493519559321666</v>
          </cell>
          <cell r="R118">
            <v>2.1963222112582512</v>
          </cell>
          <cell r="S118">
            <v>1.7205903817194697</v>
          </cell>
          <cell r="T118">
            <v>1.0000000000083724</v>
          </cell>
          <cell r="U118">
            <v>-7.773174197846643E-13</v>
          </cell>
        </row>
        <row r="119">
          <cell r="B119">
            <v>231.47111525591714</v>
          </cell>
          <cell r="C119">
            <v>144.54674757755274</v>
          </cell>
          <cell r="D119">
            <v>74.38789901385154</v>
          </cell>
          <cell r="E119">
            <v>25.744576299141368</v>
          </cell>
          <cell r="F119">
            <v>8.354035728741504</v>
          </cell>
          <cell r="G119">
            <v>5.06690909570204</v>
          </cell>
          <cell r="H119">
            <v>3.980046427978505</v>
          </cell>
          <cell r="I119">
            <v>3.4386261957993964</v>
          </cell>
          <cell r="J119">
            <v>3.1304058108498913</v>
          </cell>
          <cell r="K119">
            <v>2.9484122763597163</v>
          </cell>
          <cell r="L119">
            <v>2.8380418741029096</v>
          </cell>
          <cell r="M119">
            <v>2.766031574669806</v>
          </cell>
          <cell r="N119">
            <v>2.7157877147088625</v>
          </cell>
          <cell r="O119">
            <v>2.6557029394029343</v>
          </cell>
          <cell r="P119">
            <v>2.6036355128815036</v>
          </cell>
          <cell r="Q119">
            <v>2.5032506618235595</v>
          </cell>
          <cell r="R119">
            <v>2.3538163539060735</v>
          </cell>
          <cell r="S119">
            <v>2.096951311081255</v>
          </cell>
          <cell r="T119">
            <v>1.6758214993422438</v>
          </cell>
          <cell r="U119">
            <v>1.0000000000000067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out ..."/>
      <sheetName val="Data_Fi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1:B1"/>
  <sheetViews>
    <sheetView workbookViewId="0" topLeftCell="A79">
      <selection activeCell="A1" sqref="A1"/>
    </sheetView>
  </sheetViews>
  <sheetFormatPr defaultColWidth="9.140625" defaultRowHeight="12.75"/>
  <cols>
    <col min="1" max="1" width="1.7109375" style="0" customWidth="1"/>
    <col min="13" max="13" width="1.7109375" style="0" customWidth="1"/>
  </cols>
  <sheetData>
    <row r="1" ht="12.75">
      <c r="B1" s="168" t="s">
        <v>127</v>
      </c>
    </row>
  </sheetData>
  <sheetProtection password="CD50" sheet="1" objects="1" scenarios="1"/>
  <printOptions horizontalCentered="1"/>
  <pageMargins left="0.25" right="0.25" top="0.5" bottom="1" header="0" footer="0.5"/>
  <pageSetup horizontalDpi="300" verticalDpi="300" orientation="portrait" r:id="rId2"/>
  <headerFooter alignWithMargins="0">
    <oddFooter>&amp;L&amp;"Arial,Bold"&amp;8Moly-Cop Tools&amp;"Arial,Regular" / &amp;F&amp;R&amp;8&amp;D   /   &amp;T</oddFooter>
  </headerFooter>
  <rowBreaks count="1" manualBreakCount="1">
    <brk id="54" max="255" man="1"/>
  </rowBreaks>
  <drawing r:id="rId1"/>
</worksheet>
</file>

<file path=xl/worksheets/sheet2.xml><?xml version="1.0" encoding="utf-8"?>
<worksheet xmlns="http://schemas.openxmlformats.org/spreadsheetml/2006/main" xmlns:r="http://schemas.openxmlformats.org/officeDocument/2006/relationships">
  <sheetPr codeName="Sheet12"/>
  <dimension ref="B2:AI49"/>
  <sheetViews>
    <sheetView workbookViewId="0" topLeftCell="A4">
      <selection activeCell="R17" sqref="R17"/>
    </sheetView>
  </sheetViews>
  <sheetFormatPr defaultColWidth="9.140625" defaultRowHeight="12.75"/>
  <cols>
    <col min="1" max="2" width="1.7109375" style="169" customWidth="1"/>
    <col min="3" max="7" width="8.7109375" style="169" customWidth="1"/>
    <col min="8" max="8" width="10.7109375" style="169" customWidth="1"/>
    <col min="9" max="15" width="8.7109375" style="169" customWidth="1"/>
    <col min="16" max="16" width="3.7109375" style="169" customWidth="1"/>
    <col min="17" max="22" width="10.7109375" style="169" customWidth="1"/>
    <col min="23" max="24" width="9.140625" style="169" customWidth="1"/>
    <col min="25" max="25" width="13.7109375" style="169" bestFit="1" customWidth="1"/>
    <col min="26" max="28" width="10.7109375" style="169" customWidth="1"/>
    <col min="29" max="29" width="9.140625" style="169" customWidth="1"/>
    <col min="30" max="32" width="10.7109375" style="169" customWidth="1"/>
    <col min="33" max="33" width="9.140625" style="169" customWidth="1"/>
    <col min="34" max="36" width="10.7109375" style="169" customWidth="1"/>
    <col min="37" max="16384" width="9.140625" style="169" customWidth="1"/>
  </cols>
  <sheetData>
    <row r="1" ht="7.5" customHeight="1" thickBot="1"/>
    <row r="2" spans="2:16" ht="24.75" customHeight="1" thickTop="1">
      <c r="B2" s="179"/>
      <c r="C2" s="180" t="s">
        <v>111</v>
      </c>
      <c r="D2" s="181"/>
      <c r="E2" s="181"/>
      <c r="F2" s="181"/>
      <c r="G2" s="181"/>
      <c r="H2" s="181"/>
      <c r="I2" s="181"/>
      <c r="J2" s="181"/>
      <c r="K2" s="181"/>
      <c r="L2" s="181"/>
      <c r="M2" s="181"/>
      <c r="N2" s="181"/>
      <c r="O2" s="182"/>
      <c r="P2" s="183"/>
    </row>
    <row r="3" spans="2:16" ht="15.75">
      <c r="B3" s="184"/>
      <c r="C3" s="185"/>
      <c r="D3" s="185"/>
      <c r="E3" s="301" t="s">
        <v>125</v>
      </c>
      <c r="F3" s="302"/>
      <c r="G3" s="302"/>
      <c r="H3" s="302"/>
      <c r="I3" s="302"/>
      <c r="J3" s="302"/>
      <c r="K3" s="302"/>
      <c r="L3" s="302"/>
      <c r="M3" s="302"/>
      <c r="N3" s="186"/>
      <c r="O3" s="186"/>
      <c r="P3" s="187"/>
    </row>
    <row r="4" spans="2:16" ht="12.75">
      <c r="B4" s="184"/>
      <c r="C4" s="186"/>
      <c r="D4" s="186"/>
      <c r="E4" s="186"/>
      <c r="F4" s="186"/>
      <c r="G4" s="186"/>
      <c r="H4" s="186"/>
      <c r="I4" s="186"/>
      <c r="J4" s="186"/>
      <c r="K4" s="186"/>
      <c r="L4" s="186"/>
      <c r="M4" s="186"/>
      <c r="N4" s="186"/>
      <c r="O4" s="186"/>
      <c r="P4" s="187"/>
    </row>
    <row r="5" spans="2:16" ht="12.75">
      <c r="B5" s="184"/>
      <c r="C5" s="188" t="s">
        <v>75</v>
      </c>
      <c r="D5" s="186"/>
      <c r="E5" s="189">
        <f>Data_File!N5</f>
        <v>2</v>
      </c>
      <c r="F5" s="185"/>
      <c r="G5" s="186"/>
      <c r="H5" s="186"/>
      <c r="I5" s="186"/>
      <c r="J5" s="186"/>
      <c r="K5" s="186"/>
      <c r="L5" s="186"/>
      <c r="M5" s="186"/>
      <c r="N5" s="186"/>
      <c r="O5" s="186"/>
      <c r="P5" s="187"/>
    </row>
    <row r="6" spans="2:35" ht="12.75">
      <c r="B6" s="184"/>
      <c r="C6" s="186"/>
      <c r="D6" s="186"/>
      <c r="E6" s="186"/>
      <c r="F6" s="186"/>
      <c r="G6" s="186"/>
      <c r="H6" s="186"/>
      <c r="I6" s="186"/>
      <c r="J6" s="186"/>
      <c r="K6" s="186"/>
      <c r="L6" s="186"/>
      <c r="M6" s="186"/>
      <c r="N6" s="186"/>
      <c r="O6" s="186"/>
      <c r="P6" s="187"/>
      <c r="Q6" s="170"/>
      <c r="R6" s="170"/>
      <c r="S6" s="170"/>
      <c r="T6" s="170"/>
      <c r="U6" s="170"/>
      <c r="V6" s="170"/>
      <c r="W6" s="170"/>
      <c r="X6" s="170"/>
      <c r="Y6" s="170"/>
      <c r="Z6" s="170"/>
      <c r="AA6" s="170"/>
      <c r="AB6" s="170"/>
      <c r="AC6" s="170"/>
      <c r="AD6" s="170"/>
      <c r="AE6" s="170"/>
      <c r="AF6" s="170"/>
      <c r="AG6" s="170"/>
      <c r="AH6" s="170"/>
      <c r="AI6" s="170"/>
    </row>
    <row r="7" spans="2:35" ht="12.75">
      <c r="B7" s="184"/>
      <c r="C7" s="188" t="s">
        <v>104</v>
      </c>
      <c r="D7" s="186"/>
      <c r="E7" s="186"/>
      <c r="F7" s="186"/>
      <c r="G7" s="186"/>
      <c r="H7" s="186"/>
      <c r="I7" s="186"/>
      <c r="J7" s="186"/>
      <c r="K7" s="186"/>
      <c r="L7" s="186"/>
      <c r="M7" s="186"/>
      <c r="N7" s="186"/>
      <c r="O7" s="186"/>
      <c r="P7" s="187"/>
      <c r="Q7" s="170"/>
      <c r="R7" s="170"/>
      <c r="S7" s="170"/>
      <c r="T7" s="170"/>
      <c r="U7" s="170"/>
      <c r="V7" s="170"/>
      <c r="W7" s="170"/>
      <c r="X7" s="170"/>
      <c r="Y7" s="170"/>
      <c r="Z7" s="170"/>
      <c r="AA7" s="170"/>
      <c r="AB7" s="170"/>
      <c r="AC7" s="170"/>
      <c r="AD7" s="170"/>
      <c r="AE7" s="170"/>
      <c r="AF7" s="170"/>
      <c r="AG7" s="170"/>
      <c r="AH7" s="170"/>
      <c r="AI7" s="170"/>
    </row>
    <row r="8" spans="2:35" ht="12.75">
      <c r="B8" s="184"/>
      <c r="C8" s="190" t="s">
        <v>105</v>
      </c>
      <c r="D8" s="185"/>
      <c r="E8" s="186"/>
      <c r="F8" s="191"/>
      <c r="G8" s="191"/>
      <c r="H8" s="186"/>
      <c r="I8" s="186"/>
      <c r="J8" s="186"/>
      <c r="K8" s="186"/>
      <c r="L8" s="186"/>
      <c r="M8" s="186"/>
      <c r="N8" s="186"/>
      <c r="O8" s="186"/>
      <c r="P8" s="187"/>
      <c r="Q8" s="170"/>
      <c r="R8" s="170"/>
      <c r="S8" s="170"/>
      <c r="T8" s="170"/>
      <c r="U8" s="170"/>
      <c r="V8" s="170"/>
      <c r="W8" s="170"/>
      <c r="X8" s="170"/>
      <c r="Y8" s="170"/>
      <c r="Z8" s="170"/>
      <c r="AA8" s="170"/>
      <c r="AB8" s="170"/>
      <c r="AC8" s="170"/>
      <c r="AD8" s="170"/>
      <c r="AE8" s="170"/>
      <c r="AF8" s="170"/>
      <c r="AG8" s="170"/>
      <c r="AH8" s="170"/>
      <c r="AI8" s="170"/>
    </row>
    <row r="9" spans="2:35" ht="12.75">
      <c r="B9" s="184"/>
      <c r="C9" s="186" t="s">
        <v>106</v>
      </c>
      <c r="D9" s="185"/>
      <c r="E9" s="189">
        <v>1</v>
      </c>
      <c r="F9" s="185"/>
      <c r="G9" s="185"/>
      <c r="H9" s="186"/>
      <c r="I9" s="192"/>
      <c r="J9" s="186"/>
      <c r="K9" s="192"/>
      <c r="L9" s="192"/>
      <c r="M9" s="192"/>
      <c r="N9" s="192"/>
      <c r="O9" s="192"/>
      <c r="P9" s="193"/>
      <c r="Q9" s="171"/>
      <c r="R9" s="171"/>
      <c r="S9" s="171"/>
      <c r="T9" s="171"/>
      <c r="U9" s="171"/>
      <c r="V9" s="171"/>
      <c r="W9" s="170"/>
      <c r="X9" s="170"/>
      <c r="Y9" s="170"/>
      <c r="Z9" s="170"/>
      <c r="AA9" s="170"/>
      <c r="AB9" s="170"/>
      <c r="AC9" s="170"/>
      <c r="AD9" s="170"/>
      <c r="AE9" s="170"/>
      <c r="AF9" s="170"/>
      <c r="AG9" s="170"/>
      <c r="AH9" s="170"/>
      <c r="AI9" s="170"/>
    </row>
    <row r="10" spans="2:35" ht="12.75">
      <c r="B10" s="184"/>
      <c r="C10" s="186" t="s">
        <v>107</v>
      </c>
      <c r="D10" s="185"/>
      <c r="E10" s="172">
        <v>0.23</v>
      </c>
      <c r="F10" s="185"/>
      <c r="G10" s="185"/>
      <c r="H10" s="186"/>
      <c r="I10" s="186"/>
      <c r="J10" s="186"/>
      <c r="K10" s="186"/>
      <c r="L10" s="186"/>
      <c r="M10" s="186"/>
      <c r="N10" s="195"/>
      <c r="O10" s="195"/>
      <c r="P10" s="196"/>
      <c r="Q10" s="170"/>
      <c r="R10" s="170"/>
      <c r="S10" s="170"/>
      <c r="T10" s="170"/>
      <c r="U10" s="170"/>
      <c r="V10" s="170"/>
      <c r="W10" s="170"/>
      <c r="X10" s="170"/>
      <c r="Y10" s="170"/>
      <c r="Z10" s="170"/>
      <c r="AA10" s="170"/>
      <c r="AB10" s="170"/>
      <c r="AC10" s="170"/>
      <c r="AD10" s="170"/>
      <c r="AE10" s="170"/>
      <c r="AF10" s="170"/>
      <c r="AG10" s="170"/>
      <c r="AH10" s="170"/>
      <c r="AI10" s="170"/>
    </row>
    <row r="11" spans="2:35" ht="12.75">
      <c r="B11" s="184"/>
      <c r="C11" s="186" t="s">
        <v>108</v>
      </c>
      <c r="D11" s="185"/>
      <c r="E11" s="172">
        <v>0.77</v>
      </c>
      <c r="F11" s="185"/>
      <c r="G11" s="185"/>
      <c r="H11" s="186"/>
      <c r="I11" s="186"/>
      <c r="J11" s="186"/>
      <c r="K11" s="186"/>
      <c r="L11" s="186"/>
      <c r="M11" s="186"/>
      <c r="N11" s="195"/>
      <c r="O11" s="195"/>
      <c r="P11" s="196"/>
      <c r="Q11" s="170"/>
      <c r="R11" s="170"/>
      <c r="S11" s="170"/>
      <c r="T11" s="170"/>
      <c r="U11" s="170"/>
      <c r="V11" s="170"/>
      <c r="W11" s="170"/>
      <c r="X11" s="170"/>
      <c r="Y11" s="170"/>
      <c r="Z11" s="170"/>
      <c r="AA11" s="170"/>
      <c r="AB11" s="170"/>
      <c r="AC11" s="170"/>
      <c r="AD11" s="170"/>
      <c r="AE11" s="170"/>
      <c r="AF11" s="170"/>
      <c r="AG11" s="170"/>
      <c r="AH11" s="170"/>
      <c r="AI11" s="170"/>
    </row>
    <row r="12" spans="2:35" ht="12.75">
      <c r="B12" s="184"/>
      <c r="C12" s="185"/>
      <c r="D12" s="185"/>
      <c r="E12" s="185"/>
      <c r="F12" s="185"/>
      <c r="G12" s="185"/>
      <c r="H12" s="186"/>
      <c r="I12" s="186"/>
      <c r="J12" s="186"/>
      <c r="K12" s="186"/>
      <c r="L12" s="186"/>
      <c r="M12" s="186"/>
      <c r="N12" s="195"/>
      <c r="O12" s="195"/>
      <c r="P12" s="196"/>
      <c r="Q12" s="170"/>
      <c r="R12" s="170"/>
      <c r="S12" s="170"/>
      <c r="T12" s="170"/>
      <c r="U12" s="170"/>
      <c r="V12" s="170"/>
      <c r="W12" s="170"/>
      <c r="X12" s="170"/>
      <c r="Y12" s="170"/>
      <c r="Z12" s="170"/>
      <c r="AA12" s="170"/>
      <c r="AB12" s="170"/>
      <c r="AC12" s="170"/>
      <c r="AD12" s="170"/>
      <c r="AE12" s="170"/>
      <c r="AF12" s="170"/>
      <c r="AG12" s="170"/>
      <c r="AH12" s="170"/>
      <c r="AI12" s="170"/>
    </row>
    <row r="13" spans="2:35" ht="12.75">
      <c r="B13" s="184"/>
      <c r="C13" s="190" t="s">
        <v>47</v>
      </c>
      <c r="D13" s="185"/>
      <c r="E13" s="172">
        <v>1</v>
      </c>
      <c r="F13" s="185"/>
      <c r="G13" s="185"/>
      <c r="H13" s="186"/>
      <c r="I13" s="186"/>
      <c r="J13" s="186"/>
      <c r="K13" s="186"/>
      <c r="L13" s="186"/>
      <c r="M13" s="186"/>
      <c r="N13" s="195"/>
      <c r="O13" s="195"/>
      <c r="P13" s="196"/>
      <c r="Q13" s="170"/>
      <c r="R13" s="170"/>
      <c r="S13" s="170"/>
      <c r="T13" s="170"/>
      <c r="U13" s="170"/>
      <c r="V13" s="170"/>
      <c r="W13" s="170"/>
      <c r="X13" s="170"/>
      <c r="Y13" s="170"/>
      <c r="Z13" s="170"/>
      <c r="AA13" s="170"/>
      <c r="AB13" s="170"/>
      <c r="AC13" s="170"/>
      <c r="AD13" s="170"/>
      <c r="AE13" s="170"/>
      <c r="AF13" s="170"/>
      <c r="AG13" s="170"/>
      <c r="AH13" s="170"/>
      <c r="AI13" s="170"/>
    </row>
    <row r="14" spans="2:35" ht="12.75">
      <c r="B14" s="184"/>
      <c r="C14" s="197" t="s">
        <v>76</v>
      </c>
      <c r="D14" s="185"/>
      <c r="E14" s="172">
        <v>1</v>
      </c>
      <c r="F14" s="185"/>
      <c r="G14" s="186"/>
      <c r="H14" s="186"/>
      <c r="I14" s="186"/>
      <c r="J14" s="186"/>
      <c r="K14" s="186"/>
      <c r="L14" s="186"/>
      <c r="M14" s="186"/>
      <c r="N14" s="195"/>
      <c r="O14" s="195"/>
      <c r="P14" s="196"/>
      <c r="Q14" s="170"/>
      <c r="R14" s="170"/>
      <c r="S14" s="170"/>
      <c r="T14" s="170"/>
      <c r="U14" s="170"/>
      <c r="V14" s="170"/>
      <c r="W14" s="170"/>
      <c r="X14" s="170"/>
      <c r="Y14" s="170"/>
      <c r="Z14" s="170"/>
      <c r="AA14" s="170"/>
      <c r="AB14" s="170"/>
      <c r="AC14" s="170"/>
      <c r="AD14" s="170"/>
      <c r="AE14" s="170"/>
      <c r="AF14" s="170"/>
      <c r="AG14" s="170"/>
      <c r="AH14" s="170"/>
      <c r="AI14" s="170"/>
    </row>
    <row r="15" spans="2:35" ht="12.75">
      <c r="B15" s="184"/>
      <c r="C15" s="185"/>
      <c r="D15" s="185"/>
      <c r="E15" s="185"/>
      <c r="F15" s="185"/>
      <c r="G15" s="186"/>
      <c r="H15" s="186"/>
      <c r="I15" s="186"/>
      <c r="J15" s="186"/>
      <c r="K15" s="186"/>
      <c r="L15" s="186"/>
      <c r="M15" s="186"/>
      <c r="N15" s="195"/>
      <c r="O15" s="195"/>
      <c r="P15" s="196"/>
      <c r="Q15" s="170"/>
      <c r="R15" s="170"/>
      <c r="S15" s="170"/>
      <c r="T15" s="170"/>
      <c r="U15" s="170"/>
      <c r="V15" s="170"/>
      <c r="W15" s="170"/>
      <c r="X15" s="170"/>
      <c r="Y15" s="170"/>
      <c r="Z15" s="170"/>
      <c r="AA15" s="170"/>
      <c r="AB15" s="170"/>
      <c r="AC15" s="170"/>
      <c r="AD15" s="170"/>
      <c r="AE15" s="170"/>
      <c r="AF15" s="170"/>
      <c r="AG15" s="170"/>
      <c r="AH15" s="170"/>
      <c r="AI15" s="170"/>
    </row>
    <row r="16" spans="2:35" ht="12.75">
      <c r="B16" s="184"/>
      <c r="C16" s="185"/>
      <c r="D16" s="185"/>
      <c r="E16" s="185"/>
      <c r="F16" s="185"/>
      <c r="G16" s="186"/>
      <c r="H16" s="186"/>
      <c r="I16" s="186"/>
      <c r="J16" s="186"/>
      <c r="K16" s="186"/>
      <c r="L16" s="186"/>
      <c r="M16" s="186"/>
      <c r="N16" s="195"/>
      <c r="O16" s="195"/>
      <c r="P16" s="196"/>
      <c r="Q16" s="170"/>
      <c r="R16" s="170"/>
      <c r="S16" s="170"/>
      <c r="T16" s="170"/>
      <c r="U16" s="170"/>
      <c r="V16" s="170"/>
      <c r="W16" s="170"/>
      <c r="X16" s="170"/>
      <c r="Y16" s="170"/>
      <c r="Z16" s="170"/>
      <c r="AA16" s="170"/>
      <c r="AB16" s="170"/>
      <c r="AC16" s="170"/>
      <c r="AD16" s="170"/>
      <c r="AE16" s="170"/>
      <c r="AF16" s="170"/>
      <c r="AG16" s="170"/>
      <c r="AH16" s="170"/>
      <c r="AI16" s="170"/>
    </row>
    <row r="17" spans="2:35" ht="12.75">
      <c r="B17" s="184"/>
      <c r="C17" s="186"/>
      <c r="D17" s="186"/>
      <c r="E17" s="186"/>
      <c r="F17" s="186"/>
      <c r="G17" s="186"/>
      <c r="H17" s="186"/>
      <c r="I17" s="186"/>
      <c r="J17" s="186"/>
      <c r="K17" s="186"/>
      <c r="L17" s="186"/>
      <c r="M17" s="186"/>
      <c r="N17" s="195"/>
      <c r="O17" s="195"/>
      <c r="P17" s="196"/>
      <c r="Q17" s="170"/>
      <c r="R17" s="170"/>
      <c r="S17" s="170"/>
      <c r="T17" s="170"/>
      <c r="U17" s="170"/>
      <c r="V17" s="170"/>
      <c r="W17" s="170"/>
      <c r="X17" s="170"/>
      <c r="Y17" s="170"/>
      <c r="Z17" s="170"/>
      <c r="AA17" s="170"/>
      <c r="AB17" s="170"/>
      <c r="AC17" s="170"/>
      <c r="AD17" s="170"/>
      <c r="AE17" s="170"/>
      <c r="AF17" s="170"/>
      <c r="AG17" s="170"/>
      <c r="AH17" s="170"/>
      <c r="AI17" s="170"/>
    </row>
    <row r="18" spans="2:35" ht="12.75">
      <c r="B18" s="184"/>
      <c r="C18" s="188" t="s">
        <v>83</v>
      </c>
      <c r="D18" s="186"/>
      <c r="E18" s="186"/>
      <c r="F18" s="186"/>
      <c r="G18" s="186"/>
      <c r="H18" s="186"/>
      <c r="I18" s="186"/>
      <c r="J18" s="186"/>
      <c r="K18" s="186"/>
      <c r="L18" s="186"/>
      <c r="M18" s="186"/>
      <c r="N18" s="195"/>
      <c r="O18" s="195"/>
      <c r="P18" s="196"/>
      <c r="Q18" s="170"/>
      <c r="R18" s="170"/>
      <c r="S18" s="170"/>
      <c r="T18" s="170"/>
      <c r="U18" s="170"/>
      <c r="V18" s="170"/>
      <c r="W18" s="170"/>
      <c r="X18" s="170"/>
      <c r="Y18" s="170"/>
      <c r="Z18" s="170"/>
      <c r="AA18" s="170"/>
      <c r="AB18" s="170"/>
      <c r="AC18" s="170"/>
      <c r="AD18" s="170"/>
      <c r="AE18" s="170"/>
      <c r="AF18" s="170"/>
      <c r="AG18" s="170"/>
      <c r="AH18" s="170"/>
      <c r="AI18" s="170"/>
    </row>
    <row r="19" spans="2:35" ht="12.75">
      <c r="B19" s="184"/>
      <c r="C19" s="191" t="s">
        <v>65</v>
      </c>
      <c r="D19" s="191" t="s">
        <v>84</v>
      </c>
      <c r="E19" s="191" t="s">
        <v>85</v>
      </c>
      <c r="F19" s="191" t="s">
        <v>86</v>
      </c>
      <c r="G19" s="191"/>
      <c r="H19" s="186"/>
      <c r="I19" s="186"/>
      <c r="J19" s="186"/>
      <c r="K19" s="186"/>
      <c r="L19" s="186"/>
      <c r="M19" s="186"/>
      <c r="N19" s="186"/>
      <c r="O19" s="186"/>
      <c r="P19" s="187"/>
      <c r="Q19" s="170"/>
      <c r="R19" s="170"/>
      <c r="S19" s="170"/>
      <c r="T19" s="170"/>
      <c r="U19" s="170"/>
      <c r="V19" s="170"/>
      <c r="W19" s="170"/>
      <c r="X19" s="170"/>
      <c r="Y19" s="170"/>
      <c r="Z19" s="170"/>
      <c r="AA19" s="170"/>
      <c r="AB19" s="170"/>
      <c r="AC19" s="170"/>
      <c r="AD19" s="170"/>
      <c r="AE19" s="170"/>
      <c r="AF19" s="170"/>
      <c r="AG19" s="170"/>
      <c r="AH19" s="170"/>
      <c r="AI19" s="170"/>
    </row>
    <row r="20" spans="2:35" ht="12.75">
      <c r="B20" s="184"/>
      <c r="C20" s="173">
        <v>0.35</v>
      </c>
      <c r="D20" s="173">
        <v>3.7470911730850124E-05</v>
      </c>
      <c r="E20" s="174">
        <v>74</v>
      </c>
      <c r="F20" s="173">
        <v>1.45</v>
      </c>
      <c r="G20" s="192"/>
      <c r="H20" s="186">
        <v>4</v>
      </c>
      <c r="I20" s="186"/>
      <c r="J20" s="186"/>
      <c r="K20" s="186"/>
      <c r="L20" s="186"/>
      <c r="M20" s="186"/>
      <c r="N20" s="186"/>
      <c r="O20" s="186"/>
      <c r="P20" s="187"/>
      <c r="Q20" s="170"/>
      <c r="R20" s="170"/>
      <c r="S20" s="170"/>
      <c r="T20" s="170"/>
      <c r="U20" s="170"/>
      <c r="V20" s="170"/>
      <c r="W20" s="170"/>
      <c r="X20" s="170"/>
      <c r="Y20" s="170"/>
      <c r="Z20" s="170"/>
      <c r="AA20" s="170"/>
      <c r="AB20" s="170"/>
      <c r="AC20" s="170"/>
      <c r="AD20" s="170"/>
      <c r="AE20" s="170"/>
      <c r="AF20" s="170"/>
      <c r="AG20" s="170"/>
      <c r="AH20" s="170"/>
      <c r="AI20" s="170"/>
    </row>
    <row r="21" spans="2:35" ht="12.75">
      <c r="B21" s="184"/>
      <c r="C21" s="186"/>
      <c r="D21" s="186"/>
      <c r="E21" s="186"/>
      <c r="F21" s="186"/>
      <c r="G21" s="186"/>
      <c r="H21" s="186"/>
      <c r="I21" s="186"/>
      <c r="J21" s="186"/>
      <c r="K21" s="186"/>
      <c r="L21" s="186"/>
      <c r="M21" s="186"/>
      <c r="N21" s="186"/>
      <c r="O21" s="186"/>
      <c r="P21" s="187"/>
      <c r="Q21" s="170"/>
      <c r="R21" s="170"/>
      <c r="S21" s="170"/>
      <c r="T21" s="170"/>
      <c r="U21" s="170"/>
      <c r="V21" s="170"/>
      <c r="W21" s="170"/>
      <c r="X21" s="170"/>
      <c r="Y21" s="170"/>
      <c r="Z21" s="170"/>
      <c r="AA21" s="170"/>
      <c r="AB21" s="170"/>
      <c r="AC21" s="170"/>
      <c r="AD21" s="170"/>
      <c r="AE21" s="170"/>
      <c r="AF21" s="170"/>
      <c r="AG21" s="170"/>
      <c r="AH21" s="170"/>
      <c r="AI21" s="170"/>
    </row>
    <row r="22" spans="2:35" ht="12.75">
      <c r="B22" s="184"/>
      <c r="C22" s="188" t="s">
        <v>103</v>
      </c>
      <c r="D22" s="188"/>
      <c r="E22" s="198"/>
      <c r="F22" s="186"/>
      <c r="G22" s="186"/>
      <c r="H22" s="186"/>
      <c r="I22" s="186"/>
      <c r="J22" s="186"/>
      <c r="K22" s="186"/>
      <c r="L22" s="186"/>
      <c r="M22" s="186"/>
      <c r="N22" s="186"/>
      <c r="O22" s="186"/>
      <c r="P22" s="187"/>
      <c r="Q22" s="170"/>
      <c r="R22" s="170"/>
      <c r="S22" s="170"/>
      <c r="T22" s="170"/>
      <c r="U22" s="170"/>
      <c r="V22" s="170"/>
      <c r="W22" s="170"/>
      <c r="X22" s="170"/>
      <c r="Y22" s="170"/>
      <c r="Z22" s="170"/>
      <c r="AA22" s="170"/>
      <c r="AB22" s="170"/>
      <c r="AC22" s="170"/>
      <c r="AD22" s="170"/>
      <c r="AE22" s="170"/>
      <c r="AF22" s="170"/>
      <c r="AG22" s="170"/>
      <c r="AH22" s="170"/>
      <c r="AI22" s="170"/>
    </row>
    <row r="23" spans="2:35" ht="12.75">
      <c r="B23" s="184"/>
      <c r="C23" s="186"/>
      <c r="D23" s="186"/>
      <c r="E23" s="186"/>
      <c r="F23" s="186"/>
      <c r="G23" s="186"/>
      <c r="H23" s="186"/>
      <c r="I23" s="186"/>
      <c r="J23" s="186"/>
      <c r="K23" s="186"/>
      <c r="L23" s="186"/>
      <c r="M23" s="186"/>
      <c r="N23" s="186"/>
      <c r="O23" s="186"/>
      <c r="P23" s="187"/>
      <c r="Q23" s="170"/>
      <c r="R23" s="170"/>
      <c r="S23" s="170"/>
      <c r="T23" s="170"/>
      <c r="U23" s="170"/>
      <c r="V23" s="170"/>
      <c r="W23" s="170"/>
      <c r="X23" s="170"/>
      <c r="Y23" s="170"/>
      <c r="Z23" s="170"/>
      <c r="AA23" s="170"/>
      <c r="AB23" s="170"/>
      <c r="AC23" s="170"/>
      <c r="AD23" s="170"/>
      <c r="AE23" s="170"/>
      <c r="AF23" s="170"/>
      <c r="AG23" s="170"/>
      <c r="AH23" s="170"/>
      <c r="AI23" s="170"/>
    </row>
    <row r="24" spans="2:35" ht="12.75">
      <c r="B24" s="184"/>
      <c r="C24" s="188" t="s">
        <v>64</v>
      </c>
      <c r="D24" s="186"/>
      <c r="E24" s="186"/>
      <c r="F24" s="186"/>
      <c r="G24" s="186"/>
      <c r="H24" s="186"/>
      <c r="I24" s="186"/>
      <c r="J24" s="186"/>
      <c r="K24" s="186"/>
      <c r="L24" s="186"/>
      <c r="M24" s="186"/>
      <c r="N24" s="186"/>
      <c r="O24" s="186"/>
      <c r="P24" s="187"/>
      <c r="Q24" s="170"/>
      <c r="R24" s="170"/>
      <c r="S24" s="170"/>
      <c r="T24" s="170"/>
      <c r="U24" s="170"/>
      <c r="V24" s="170"/>
      <c r="W24" s="170"/>
      <c r="X24" s="170"/>
      <c r="Y24" s="170"/>
      <c r="Z24" s="170"/>
      <c r="AA24" s="170"/>
      <c r="AB24" s="170"/>
      <c r="AC24" s="170"/>
      <c r="AD24" s="170"/>
      <c r="AE24" s="170"/>
      <c r="AF24" s="170"/>
      <c r="AG24" s="170"/>
      <c r="AH24" s="170"/>
      <c r="AI24" s="170"/>
    </row>
    <row r="25" spans="2:35" ht="12.75">
      <c r="B25" s="184"/>
      <c r="C25" s="191" t="s">
        <v>18</v>
      </c>
      <c r="D25" s="186"/>
      <c r="E25" s="199">
        <v>9.411</v>
      </c>
      <c r="F25" s="186"/>
      <c r="G25" s="186"/>
      <c r="H25" s="186"/>
      <c r="I25" s="186"/>
      <c r="J25" s="186"/>
      <c r="K25" s="186"/>
      <c r="L25" s="186"/>
      <c r="M25" s="186"/>
      <c r="N25" s="186"/>
      <c r="O25" s="186"/>
      <c r="P25" s="187"/>
      <c r="Q25" s="170"/>
      <c r="R25" s="170"/>
      <c r="S25" s="170"/>
      <c r="T25" s="170"/>
      <c r="U25" s="170"/>
      <c r="V25" s="170"/>
      <c r="W25" s="170"/>
      <c r="X25" s="170"/>
      <c r="Y25" s="170"/>
      <c r="Z25" s="170"/>
      <c r="AA25" s="170"/>
      <c r="AB25" s="170"/>
      <c r="AC25" s="170"/>
      <c r="AD25" s="170"/>
      <c r="AE25" s="170"/>
      <c r="AF25" s="170"/>
      <c r="AG25" s="170"/>
      <c r="AH25" s="170"/>
      <c r="AI25" s="170"/>
    </row>
    <row r="26" spans="2:35" ht="12.75">
      <c r="B26" s="184"/>
      <c r="C26" s="191" t="s">
        <v>19</v>
      </c>
      <c r="D26" s="186"/>
      <c r="E26" s="200">
        <v>1.447</v>
      </c>
      <c r="F26" s="186"/>
      <c r="G26" s="186"/>
      <c r="H26" s="186"/>
      <c r="I26" s="186"/>
      <c r="J26" s="186"/>
      <c r="K26" s="186"/>
      <c r="L26" s="186"/>
      <c r="M26" s="186"/>
      <c r="N26" s="186"/>
      <c r="O26" s="186"/>
      <c r="P26" s="187"/>
      <c r="Q26" s="170"/>
      <c r="R26" s="170"/>
      <c r="S26" s="170"/>
      <c r="T26" s="170"/>
      <c r="U26" s="170"/>
      <c r="V26" s="170"/>
      <c r="W26" s="170"/>
      <c r="X26" s="170"/>
      <c r="Y26" s="170"/>
      <c r="Z26" s="170"/>
      <c r="AA26" s="170"/>
      <c r="AB26" s="170"/>
      <c r="AC26" s="170"/>
      <c r="AD26" s="170"/>
      <c r="AE26" s="170"/>
      <c r="AF26" s="170"/>
      <c r="AG26" s="170"/>
      <c r="AH26" s="170"/>
      <c r="AI26" s="170"/>
    </row>
    <row r="27" spans="2:35" ht="12.75">
      <c r="B27" s="184"/>
      <c r="C27" s="191" t="s">
        <v>20</v>
      </c>
      <c r="D27" s="186"/>
      <c r="E27" s="201">
        <v>57.239</v>
      </c>
      <c r="F27" s="186"/>
      <c r="G27" s="186"/>
      <c r="H27" s="186"/>
      <c r="I27" s="186"/>
      <c r="J27" s="186"/>
      <c r="K27" s="186"/>
      <c r="L27" s="186"/>
      <c r="M27" s="186"/>
      <c r="N27" s="186"/>
      <c r="O27" s="186"/>
      <c r="P27" s="187"/>
      <c r="Q27" s="170"/>
      <c r="R27" s="170"/>
      <c r="S27" s="170"/>
      <c r="T27" s="170"/>
      <c r="U27" s="170"/>
      <c r="V27" s="170"/>
      <c r="W27" s="170"/>
      <c r="X27" s="170"/>
      <c r="Y27" s="170"/>
      <c r="Z27" s="170"/>
      <c r="AA27" s="170"/>
      <c r="AB27" s="170"/>
      <c r="AC27" s="170"/>
      <c r="AD27" s="170"/>
      <c r="AE27" s="170"/>
      <c r="AF27" s="170"/>
      <c r="AG27" s="170"/>
      <c r="AH27" s="170"/>
      <c r="AI27" s="170"/>
    </row>
    <row r="28" spans="2:35" ht="12.75">
      <c r="B28" s="184"/>
      <c r="C28" s="191" t="s">
        <v>21</v>
      </c>
      <c r="D28" s="186"/>
      <c r="E28" s="200">
        <v>0.63</v>
      </c>
      <c r="F28" s="186"/>
      <c r="G28" s="186"/>
      <c r="H28" s="186"/>
      <c r="I28" s="186"/>
      <c r="J28" s="186"/>
      <c r="K28" s="186"/>
      <c r="L28" s="186"/>
      <c r="M28" s="186"/>
      <c r="N28" s="186"/>
      <c r="O28" s="186"/>
      <c r="P28" s="187"/>
      <c r="Q28" s="170"/>
      <c r="R28" s="170"/>
      <c r="S28" s="170"/>
      <c r="T28" s="170"/>
      <c r="U28" s="170"/>
      <c r="V28" s="170"/>
      <c r="W28" s="170"/>
      <c r="X28" s="170"/>
      <c r="Y28" s="170"/>
      <c r="Z28" s="170"/>
      <c r="AA28" s="170"/>
      <c r="AB28" s="170"/>
      <c r="AC28" s="170"/>
      <c r="AD28" s="170"/>
      <c r="AE28" s="170"/>
      <c r="AF28" s="170"/>
      <c r="AG28" s="170"/>
      <c r="AH28" s="170"/>
      <c r="AI28" s="170"/>
    </row>
    <row r="29" spans="2:35" ht="12.75">
      <c r="B29" s="184"/>
      <c r="C29" s="202" t="s">
        <v>22</v>
      </c>
      <c r="D29" s="186"/>
      <c r="E29" s="200">
        <v>0.95</v>
      </c>
      <c r="F29" s="186"/>
      <c r="G29" s="186"/>
      <c r="H29" s="186"/>
      <c r="I29" s="186"/>
      <c r="J29" s="186"/>
      <c r="K29" s="186"/>
      <c r="L29" s="186"/>
      <c r="M29" s="186"/>
      <c r="N29" s="186"/>
      <c r="O29" s="186"/>
      <c r="P29" s="187"/>
      <c r="Q29" s="170"/>
      <c r="R29" s="170"/>
      <c r="S29" s="170"/>
      <c r="T29" s="170"/>
      <c r="U29" s="170"/>
      <c r="V29" s="170"/>
      <c r="W29" s="170"/>
      <c r="X29" s="170"/>
      <c r="Y29" s="170"/>
      <c r="Z29" s="170"/>
      <c r="AA29" s="170"/>
      <c r="AB29" s="170"/>
      <c r="AC29" s="170"/>
      <c r="AD29" s="170"/>
      <c r="AE29" s="170"/>
      <c r="AF29" s="170"/>
      <c r="AG29" s="170"/>
      <c r="AH29" s="170"/>
      <c r="AI29" s="170"/>
    </row>
    <row r="30" spans="2:35" ht="13.5" thickBot="1">
      <c r="B30" s="203"/>
      <c r="C30" s="204"/>
      <c r="D30" s="204"/>
      <c r="E30" s="204"/>
      <c r="F30" s="204"/>
      <c r="G30" s="204"/>
      <c r="H30" s="204"/>
      <c r="I30" s="204"/>
      <c r="J30" s="204"/>
      <c r="K30" s="204"/>
      <c r="L30" s="204"/>
      <c r="M30" s="204"/>
      <c r="N30" s="204"/>
      <c r="O30" s="204"/>
      <c r="P30" s="205"/>
      <c r="Q30" s="170"/>
      <c r="R30" s="170"/>
      <c r="S30" s="170"/>
      <c r="T30" s="170"/>
      <c r="U30" s="170"/>
      <c r="V30" s="170"/>
      <c r="W30" s="170"/>
      <c r="X30" s="170"/>
      <c r="Y30" s="170"/>
      <c r="Z30" s="170"/>
      <c r="AA30" s="170"/>
      <c r="AB30" s="170"/>
      <c r="AC30" s="170"/>
      <c r="AD30" s="170"/>
      <c r="AE30" s="170"/>
      <c r="AF30" s="170"/>
      <c r="AG30" s="170"/>
      <c r="AH30" s="170"/>
      <c r="AI30" s="170"/>
    </row>
    <row r="31" spans="17:35" ht="13.5" thickTop="1">
      <c r="Q31" s="170"/>
      <c r="R31" s="170"/>
      <c r="S31" s="170"/>
      <c r="T31" s="170"/>
      <c r="U31" s="170"/>
      <c r="V31" s="170"/>
      <c r="W31" s="170"/>
      <c r="X31" s="170"/>
      <c r="Y31" s="170"/>
      <c r="Z31" s="170"/>
      <c r="AA31" s="170"/>
      <c r="AB31" s="170"/>
      <c r="AC31" s="170"/>
      <c r="AD31" s="170"/>
      <c r="AE31" s="170"/>
      <c r="AF31" s="170"/>
      <c r="AG31" s="170"/>
      <c r="AH31" s="170"/>
      <c r="AI31" s="170"/>
    </row>
    <row r="32" spans="17:35" ht="12.75">
      <c r="Q32" s="170"/>
      <c r="R32" s="170"/>
      <c r="S32" s="170"/>
      <c r="T32" s="170"/>
      <c r="U32" s="170"/>
      <c r="V32" s="170"/>
      <c r="W32" s="170"/>
      <c r="X32" s="170"/>
      <c r="Y32" s="170"/>
      <c r="Z32" s="170"/>
      <c r="AA32" s="170"/>
      <c r="AB32" s="170"/>
      <c r="AC32" s="170"/>
      <c r="AD32" s="170"/>
      <c r="AE32" s="170"/>
      <c r="AF32" s="170"/>
      <c r="AG32" s="170"/>
      <c r="AH32" s="170"/>
      <c r="AI32" s="170"/>
    </row>
    <row r="33" spans="17:35" ht="12.75">
      <c r="Q33" s="170"/>
      <c r="R33" s="170"/>
      <c r="S33" s="170"/>
      <c r="T33" s="170"/>
      <c r="U33" s="170"/>
      <c r="V33" s="170"/>
      <c r="W33" s="170"/>
      <c r="X33" s="170"/>
      <c r="Y33" s="170"/>
      <c r="Z33" s="170"/>
      <c r="AA33" s="170"/>
      <c r="AB33" s="170"/>
      <c r="AC33" s="170"/>
      <c r="AD33" s="170"/>
      <c r="AE33" s="170"/>
      <c r="AF33" s="170"/>
      <c r="AG33" s="170"/>
      <c r="AH33" s="170"/>
      <c r="AI33" s="170"/>
    </row>
    <row r="34" spans="17:35" ht="12.75">
      <c r="Q34" s="170"/>
      <c r="R34" s="170"/>
      <c r="S34" s="170"/>
      <c r="T34" s="170"/>
      <c r="U34" s="170"/>
      <c r="V34" s="170"/>
      <c r="W34" s="170"/>
      <c r="X34" s="170"/>
      <c r="Y34" s="170"/>
      <c r="Z34" s="170"/>
      <c r="AA34" s="170"/>
      <c r="AB34" s="170"/>
      <c r="AC34" s="170"/>
      <c r="AD34" s="170"/>
      <c r="AE34" s="170"/>
      <c r="AF34" s="170"/>
      <c r="AG34" s="170"/>
      <c r="AH34" s="170"/>
      <c r="AI34" s="170"/>
    </row>
    <row r="35" spans="17:35" ht="12.75">
      <c r="Q35" s="170"/>
      <c r="R35" s="170"/>
      <c r="S35" s="170"/>
      <c r="T35" s="170"/>
      <c r="U35" s="170"/>
      <c r="V35" s="170"/>
      <c r="W35" s="170"/>
      <c r="X35" s="170"/>
      <c r="Y35" s="170"/>
      <c r="Z35" s="170"/>
      <c r="AA35" s="170"/>
      <c r="AB35" s="170"/>
      <c r="AC35" s="170"/>
      <c r="AD35" s="170"/>
      <c r="AE35" s="170"/>
      <c r="AF35" s="170"/>
      <c r="AG35" s="170"/>
      <c r="AH35" s="170"/>
      <c r="AI35" s="170"/>
    </row>
    <row r="36" spans="17:35" ht="12.75">
      <c r="Q36" s="170"/>
      <c r="R36" s="170"/>
      <c r="S36" s="170"/>
      <c r="T36" s="170"/>
      <c r="U36" s="170"/>
      <c r="V36" s="170"/>
      <c r="W36" s="170"/>
      <c r="X36" s="170"/>
      <c r="Y36" s="170"/>
      <c r="Z36" s="170"/>
      <c r="AA36" s="170"/>
      <c r="AB36" s="170"/>
      <c r="AC36" s="170"/>
      <c r="AD36" s="170"/>
      <c r="AE36" s="170"/>
      <c r="AF36" s="170"/>
      <c r="AG36" s="170"/>
      <c r="AH36" s="170"/>
      <c r="AI36" s="170"/>
    </row>
    <row r="37" spans="17:35" ht="12.75">
      <c r="Q37" s="170"/>
      <c r="R37" s="170"/>
      <c r="S37" s="170"/>
      <c r="T37" s="170"/>
      <c r="U37" s="170"/>
      <c r="V37" s="170"/>
      <c r="W37" s="170"/>
      <c r="X37" s="170"/>
      <c r="Y37" s="170"/>
      <c r="Z37" s="170"/>
      <c r="AA37" s="170"/>
      <c r="AB37" s="170"/>
      <c r="AC37" s="170"/>
      <c r="AD37" s="170"/>
      <c r="AE37" s="170"/>
      <c r="AF37" s="170"/>
      <c r="AG37" s="170"/>
      <c r="AH37" s="170"/>
      <c r="AI37" s="170"/>
    </row>
    <row r="38" spans="17:35" ht="12.75">
      <c r="Q38" s="170"/>
      <c r="R38" s="170"/>
      <c r="S38" s="170"/>
      <c r="T38" s="170"/>
      <c r="U38" s="170"/>
      <c r="V38" s="170"/>
      <c r="W38" s="170"/>
      <c r="X38" s="170"/>
      <c r="Y38" s="170"/>
      <c r="Z38" s="170"/>
      <c r="AA38" s="170"/>
      <c r="AB38" s="170"/>
      <c r="AC38" s="170"/>
      <c r="AD38" s="170"/>
      <c r="AE38" s="170"/>
      <c r="AF38" s="170"/>
      <c r="AG38" s="170"/>
      <c r="AH38" s="170"/>
      <c r="AI38" s="170"/>
    </row>
    <row r="39" spans="17:35" ht="12.75">
      <c r="Q39" s="170"/>
      <c r="R39" s="170"/>
      <c r="S39" s="170"/>
      <c r="T39" s="170"/>
      <c r="U39" s="170"/>
      <c r="V39" s="170"/>
      <c r="W39" s="170"/>
      <c r="X39" s="170"/>
      <c r="Y39" s="170"/>
      <c r="Z39" s="170"/>
      <c r="AA39" s="170"/>
      <c r="AB39" s="170"/>
      <c r="AC39" s="170"/>
      <c r="AD39" s="170"/>
      <c r="AE39" s="170"/>
      <c r="AF39" s="170"/>
      <c r="AG39" s="170"/>
      <c r="AH39" s="170"/>
      <c r="AI39" s="170"/>
    </row>
    <row r="40" spans="17:35" ht="12.75">
      <c r="Q40" s="170"/>
      <c r="R40" s="170"/>
      <c r="S40" s="170"/>
      <c r="T40" s="170"/>
      <c r="U40" s="170"/>
      <c r="V40" s="170"/>
      <c r="W40" s="170"/>
      <c r="X40" s="170"/>
      <c r="Y40" s="170"/>
      <c r="Z40" s="170"/>
      <c r="AA40" s="170"/>
      <c r="AB40" s="170"/>
      <c r="AC40" s="170"/>
      <c r="AD40" s="170"/>
      <c r="AE40" s="170"/>
      <c r="AF40" s="170"/>
      <c r="AG40" s="170"/>
      <c r="AH40" s="170"/>
      <c r="AI40" s="170"/>
    </row>
    <row r="41" spans="17:35" ht="12.75">
      <c r="Q41" s="170"/>
      <c r="R41" s="170"/>
      <c r="S41" s="170"/>
      <c r="T41" s="170"/>
      <c r="U41" s="170"/>
      <c r="V41" s="170"/>
      <c r="W41" s="170"/>
      <c r="X41" s="170"/>
      <c r="Y41" s="170"/>
      <c r="Z41" s="170"/>
      <c r="AA41" s="170"/>
      <c r="AB41" s="170"/>
      <c r="AC41" s="170"/>
      <c r="AD41" s="170"/>
      <c r="AE41" s="170"/>
      <c r="AF41" s="170"/>
      <c r="AG41" s="170"/>
      <c r="AH41" s="170"/>
      <c r="AI41" s="170"/>
    </row>
    <row r="42" spans="17:35" ht="12.75">
      <c r="Q42" s="170"/>
      <c r="R42" s="170"/>
      <c r="S42" s="170"/>
      <c r="T42" s="170"/>
      <c r="U42" s="170"/>
      <c r="V42" s="170"/>
      <c r="W42" s="170"/>
      <c r="X42" s="170"/>
      <c r="Y42" s="170"/>
      <c r="Z42" s="170"/>
      <c r="AA42" s="170"/>
      <c r="AB42" s="170"/>
      <c r="AC42" s="170"/>
      <c r="AD42" s="170"/>
      <c r="AE42" s="170"/>
      <c r="AF42" s="170"/>
      <c r="AG42" s="170"/>
      <c r="AH42" s="170"/>
      <c r="AI42" s="170"/>
    </row>
    <row r="43" spans="17:35" ht="12.75">
      <c r="Q43" s="170"/>
      <c r="R43" s="170"/>
      <c r="S43" s="170"/>
      <c r="T43" s="170"/>
      <c r="U43" s="170"/>
      <c r="V43" s="170"/>
      <c r="W43" s="170"/>
      <c r="X43" s="170"/>
      <c r="Y43" s="170"/>
      <c r="Z43" s="170"/>
      <c r="AA43" s="170"/>
      <c r="AB43" s="170"/>
      <c r="AC43" s="170"/>
      <c r="AD43" s="170"/>
      <c r="AE43" s="170"/>
      <c r="AF43" s="170"/>
      <c r="AG43" s="170"/>
      <c r="AH43" s="170"/>
      <c r="AI43" s="170"/>
    </row>
    <row r="44" spans="17:35" ht="12.75">
      <c r="Q44" s="170"/>
      <c r="R44" s="170"/>
      <c r="S44" s="170"/>
      <c r="T44" s="170"/>
      <c r="U44" s="170"/>
      <c r="V44" s="170"/>
      <c r="W44" s="170"/>
      <c r="X44" s="170"/>
      <c r="Y44" s="170"/>
      <c r="Z44" s="170"/>
      <c r="AA44" s="170"/>
      <c r="AB44" s="170"/>
      <c r="AC44" s="170"/>
      <c r="AD44" s="170"/>
      <c r="AE44" s="170"/>
      <c r="AF44" s="170"/>
      <c r="AG44" s="170"/>
      <c r="AH44" s="170"/>
      <c r="AI44" s="170"/>
    </row>
    <row r="45" spans="17:35" ht="12.75">
      <c r="Q45" s="170"/>
      <c r="R45" s="170"/>
      <c r="S45" s="170"/>
      <c r="T45" s="170"/>
      <c r="U45" s="170"/>
      <c r="V45" s="170"/>
      <c r="W45" s="170"/>
      <c r="X45" s="170"/>
      <c r="Y45" s="170"/>
      <c r="Z45" s="170"/>
      <c r="AA45" s="170"/>
      <c r="AB45" s="170"/>
      <c r="AC45" s="170"/>
      <c r="AD45" s="170"/>
      <c r="AE45" s="170"/>
      <c r="AF45" s="170"/>
      <c r="AG45" s="170"/>
      <c r="AH45" s="170"/>
      <c r="AI45" s="170"/>
    </row>
    <row r="46" spans="17:35" ht="12.75">
      <c r="Q46" s="170"/>
      <c r="R46" s="170"/>
      <c r="S46" s="170"/>
      <c r="T46" s="170"/>
      <c r="U46" s="170"/>
      <c r="V46" s="170"/>
      <c r="W46" s="170"/>
      <c r="X46" s="170"/>
      <c r="Y46" s="170"/>
      <c r="Z46" s="170"/>
      <c r="AA46" s="170"/>
      <c r="AB46" s="170"/>
      <c r="AC46" s="170"/>
      <c r="AD46" s="170"/>
      <c r="AE46" s="170"/>
      <c r="AF46" s="170"/>
      <c r="AG46" s="170"/>
      <c r="AH46" s="170"/>
      <c r="AI46" s="170"/>
    </row>
    <row r="47" spans="17:35" ht="12.75">
      <c r="Q47" s="170"/>
      <c r="R47" s="170"/>
      <c r="S47" s="170"/>
      <c r="T47" s="170"/>
      <c r="U47" s="170"/>
      <c r="V47" s="170"/>
      <c r="W47" s="170"/>
      <c r="X47" s="170"/>
      <c r="Y47" s="170"/>
      <c r="Z47" s="170"/>
      <c r="AA47" s="170"/>
      <c r="AB47" s="170"/>
      <c r="AC47" s="170"/>
      <c r="AD47" s="170"/>
      <c r="AE47" s="170"/>
      <c r="AF47" s="170"/>
      <c r="AG47" s="170"/>
      <c r="AH47" s="170"/>
      <c r="AI47" s="170"/>
    </row>
    <row r="48" spans="17:35" ht="12.75">
      <c r="Q48" s="170"/>
      <c r="R48" s="170"/>
      <c r="S48" s="170"/>
      <c r="T48" s="170"/>
      <c r="U48" s="170"/>
      <c r="V48" s="170"/>
      <c r="W48" s="170"/>
      <c r="X48" s="170"/>
      <c r="Y48" s="170"/>
      <c r="Z48" s="170"/>
      <c r="AA48" s="170"/>
      <c r="AB48" s="170"/>
      <c r="AC48" s="170"/>
      <c r="AD48" s="170"/>
      <c r="AE48" s="170"/>
      <c r="AF48" s="170"/>
      <c r="AG48" s="170"/>
      <c r="AH48" s="170"/>
      <c r="AI48" s="170"/>
    </row>
    <row r="49" spans="17:35" ht="12.75">
      <c r="Q49" s="170"/>
      <c r="R49" s="170"/>
      <c r="S49" s="170"/>
      <c r="T49" s="170"/>
      <c r="U49" s="170"/>
      <c r="V49" s="170"/>
      <c r="W49" s="170"/>
      <c r="X49" s="170"/>
      <c r="Y49" s="170"/>
      <c r="Z49" s="170"/>
      <c r="AA49" s="170"/>
      <c r="AB49" s="170"/>
      <c r="AC49" s="170"/>
      <c r="AD49" s="170"/>
      <c r="AE49" s="170"/>
      <c r="AF49" s="170"/>
      <c r="AG49" s="170"/>
      <c r="AH49" s="170"/>
      <c r="AI49" s="170"/>
    </row>
  </sheetData>
  <mergeCells count="1">
    <mergeCell ref="E3:M3"/>
  </mergeCells>
  <printOptions horizontalCentered="1" verticalCentered="1"/>
  <pageMargins left="0.25" right="0.25" top="1" bottom="1.5" header="0" footer="0.5"/>
  <pageSetup horizontalDpi="300" verticalDpi="300" orientation="landscape" r:id="rId4"/>
  <headerFooter alignWithMargins="0">
    <oddFooter>&amp;L&amp;"Arial,Bold"&amp;8Moly-Cop Tools&amp;"Arial,Regular" / &amp;F&amp;R&amp;8&amp;D   /   &amp;T</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B2:AH42"/>
  <sheetViews>
    <sheetView zoomScale="80" zoomScaleNormal="80" workbookViewId="0" topLeftCell="A1">
      <selection activeCell="N12" sqref="N12"/>
    </sheetView>
  </sheetViews>
  <sheetFormatPr defaultColWidth="9.140625" defaultRowHeight="12.75"/>
  <cols>
    <col min="1" max="2" width="1.7109375" style="169" customWidth="1"/>
    <col min="3" max="15" width="10.7109375" style="169" customWidth="1"/>
    <col min="16" max="18" width="1.7109375" style="169" customWidth="1"/>
    <col min="19" max="19" width="12.7109375" style="169" customWidth="1"/>
    <col min="20" max="20" width="9.140625" style="169" customWidth="1"/>
    <col min="21" max="21" width="13.7109375" style="169" bestFit="1" customWidth="1"/>
    <col min="22" max="24" width="10.7109375" style="169" customWidth="1"/>
    <col min="25" max="25" width="9.140625" style="169" customWidth="1"/>
    <col min="26" max="28" width="10.7109375" style="169" customWidth="1"/>
    <col min="29" max="29" width="9.140625" style="169" customWidth="1"/>
    <col min="30" max="32" width="10.7109375" style="169" customWidth="1"/>
    <col min="33" max="33" width="9.140625" style="169" customWidth="1"/>
    <col min="34" max="34" width="1.7109375" style="169" customWidth="1"/>
    <col min="35" max="16384" width="9.140625" style="169" customWidth="1"/>
  </cols>
  <sheetData>
    <row r="1" ht="7.5" customHeight="1" thickBot="1"/>
    <row r="2" spans="2:34" ht="24.75" customHeight="1" thickTop="1">
      <c r="B2" s="179"/>
      <c r="C2" s="180" t="s">
        <v>111</v>
      </c>
      <c r="D2" s="181"/>
      <c r="E2" s="181"/>
      <c r="F2" s="181"/>
      <c r="G2" s="181"/>
      <c r="H2" s="181"/>
      <c r="I2" s="181"/>
      <c r="J2" s="181"/>
      <c r="K2" s="181"/>
      <c r="L2" s="181"/>
      <c r="M2" s="181"/>
      <c r="N2" s="181"/>
      <c r="O2" s="182"/>
      <c r="P2" s="183"/>
      <c r="Q2" s="214"/>
      <c r="R2" s="215"/>
      <c r="S2" s="216"/>
      <c r="T2" s="216"/>
      <c r="U2" s="216"/>
      <c r="V2" s="216"/>
      <c r="W2" s="216"/>
      <c r="X2" s="216"/>
      <c r="Y2" s="216"/>
      <c r="Z2" s="216"/>
      <c r="AA2" s="216"/>
      <c r="AB2" s="216"/>
      <c r="AC2" s="216"/>
      <c r="AD2" s="216"/>
      <c r="AE2" s="216"/>
      <c r="AF2" s="216"/>
      <c r="AG2" s="216"/>
      <c r="AH2" s="217"/>
    </row>
    <row r="3" spans="2:34" ht="15.75" customHeight="1">
      <c r="B3" s="184"/>
      <c r="C3" s="185"/>
      <c r="D3" s="303" t="s">
        <v>113</v>
      </c>
      <c r="E3" s="303"/>
      <c r="F3" s="303"/>
      <c r="G3" s="303"/>
      <c r="H3" s="303"/>
      <c r="I3" s="303"/>
      <c r="J3" s="303"/>
      <c r="K3" s="303"/>
      <c r="L3" s="303"/>
      <c r="M3" s="303"/>
      <c r="N3" s="303"/>
      <c r="O3" s="186"/>
      <c r="P3" s="187"/>
      <c r="Q3" s="214"/>
      <c r="R3" s="218"/>
      <c r="S3" s="219"/>
      <c r="T3" s="219"/>
      <c r="U3" s="219"/>
      <c r="V3" s="219"/>
      <c r="W3" s="219"/>
      <c r="X3" s="219"/>
      <c r="Y3" s="219"/>
      <c r="Z3" s="219"/>
      <c r="AA3" s="219"/>
      <c r="AB3" s="219"/>
      <c r="AC3" s="219"/>
      <c r="AD3" s="219"/>
      <c r="AE3" s="219"/>
      <c r="AF3" s="219"/>
      <c r="AG3" s="219"/>
      <c r="AH3" s="220"/>
    </row>
    <row r="4" spans="2:34" ht="12.75">
      <c r="B4" s="184"/>
      <c r="C4" s="186"/>
      <c r="D4" s="186"/>
      <c r="E4" s="186"/>
      <c r="F4" s="186"/>
      <c r="G4" s="186"/>
      <c r="H4" s="186"/>
      <c r="I4" s="186"/>
      <c r="J4" s="186"/>
      <c r="K4" s="186"/>
      <c r="L4" s="186"/>
      <c r="M4" s="186"/>
      <c r="N4" s="186"/>
      <c r="O4" s="186"/>
      <c r="P4" s="187"/>
      <c r="Q4" s="214"/>
      <c r="R4" s="218"/>
      <c r="S4" s="219"/>
      <c r="T4" s="219"/>
      <c r="U4" s="219"/>
      <c r="V4" s="219"/>
      <c r="W4" s="219"/>
      <c r="X4" s="219"/>
      <c r="Y4" s="219"/>
      <c r="Z4" s="219"/>
      <c r="AA4" s="219"/>
      <c r="AB4" s="219"/>
      <c r="AC4" s="219"/>
      <c r="AD4" s="219"/>
      <c r="AE4" s="219"/>
      <c r="AF4" s="219"/>
      <c r="AG4" s="219"/>
      <c r="AH4" s="220"/>
    </row>
    <row r="5" spans="2:34" ht="12.75">
      <c r="B5" s="184"/>
      <c r="C5" s="188" t="s">
        <v>39</v>
      </c>
      <c r="D5" s="310" t="s">
        <v>115</v>
      </c>
      <c r="E5" s="311"/>
      <c r="F5" s="311"/>
      <c r="G5" s="311"/>
      <c r="H5" s="311"/>
      <c r="I5" s="312"/>
      <c r="J5" s="186"/>
      <c r="K5" s="186"/>
      <c r="L5" s="188" t="s">
        <v>114</v>
      </c>
      <c r="M5" s="186"/>
      <c r="N5" s="172">
        <v>2</v>
      </c>
      <c r="O5" s="186"/>
      <c r="P5" s="187"/>
      <c r="Q5" s="214"/>
      <c r="R5" s="218"/>
      <c r="S5" s="219"/>
      <c r="T5" s="219"/>
      <c r="U5" s="219"/>
      <c r="V5" s="219"/>
      <c r="W5" s="219"/>
      <c r="X5" s="219"/>
      <c r="Y5" s="219"/>
      <c r="Z5" s="219"/>
      <c r="AA5" s="219"/>
      <c r="AB5" s="219"/>
      <c r="AC5" s="219"/>
      <c r="AD5" s="219"/>
      <c r="AE5" s="219"/>
      <c r="AF5" s="219"/>
      <c r="AG5" s="219"/>
      <c r="AH5" s="220"/>
    </row>
    <row r="6" spans="2:34" ht="12.75">
      <c r="B6" s="184"/>
      <c r="C6" s="186"/>
      <c r="D6" s="313" t="s">
        <v>102</v>
      </c>
      <c r="E6" s="314"/>
      <c r="F6" s="314"/>
      <c r="G6" s="314"/>
      <c r="H6" s="314"/>
      <c r="I6" s="315"/>
      <c r="J6" s="186"/>
      <c r="K6" s="186"/>
      <c r="L6" s="186"/>
      <c r="M6" s="186"/>
      <c r="N6" s="186"/>
      <c r="O6" s="186"/>
      <c r="P6" s="187"/>
      <c r="Q6" s="214"/>
      <c r="R6" s="218"/>
      <c r="S6" s="219"/>
      <c r="T6" s="219"/>
      <c r="U6" s="219"/>
      <c r="V6" s="219"/>
      <c r="W6" s="219"/>
      <c r="X6" s="219"/>
      <c r="Y6" s="219"/>
      <c r="Z6" s="219"/>
      <c r="AA6" s="219"/>
      <c r="AB6" s="219"/>
      <c r="AC6" s="219"/>
      <c r="AD6" s="219"/>
      <c r="AE6" s="219"/>
      <c r="AF6" s="219"/>
      <c r="AG6" s="219"/>
      <c r="AH6" s="220"/>
    </row>
    <row r="7" spans="2:34" ht="12.75">
      <c r="B7" s="184"/>
      <c r="C7" s="186"/>
      <c r="D7" s="221"/>
      <c r="E7" s="221"/>
      <c r="F7" s="221"/>
      <c r="G7" s="221"/>
      <c r="H7" s="221"/>
      <c r="I7" s="221"/>
      <c r="J7" s="186"/>
      <c r="K7" s="186"/>
      <c r="L7" s="186"/>
      <c r="M7" s="186"/>
      <c r="N7" s="186"/>
      <c r="O7" s="186"/>
      <c r="P7" s="187"/>
      <c r="Q7" s="214"/>
      <c r="R7" s="218"/>
      <c r="S7" s="219"/>
      <c r="T7" s="219"/>
      <c r="U7" s="219"/>
      <c r="V7" s="219"/>
      <c r="W7" s="219"/>
      <c r="X7" s="219"/>
      <c r="Y7" s="219"/>
      <c r="Z7" s="219"/>
      <c r="AA7" s="219"/>
      <c r="AB7" s="219"/>
      <c r="AC7" s="219"/>
      <c r="AD7" s="219"/>
      <c r="AE7" s="219"/>
      <c r="AF7" s="219"/>
      <c r="AG7" s="219"/>
      <c r="AH7" s="220"/>
    </row>
    <row r="8" spans="2:34" ht="12.75">
      <c r="B8" s="184"/>
      <c r="C8" s="222"/>
      <c r="D8" s="222"/>
      <c r="E8" s="223"/>
      <c r="F8" s="195"/>
      <c r="G8" s="223"/>
      <c r="H8" s="223"/>
      <c r="I8" s="224"/>
      <c r="J8" s="186"/>
      <c r="K8" s="188" t="s">
        <v>46</v>
      </c>
      <c r="L8" s="186"/>
      <c r="M8" s="186"/>
      <c r="N8" s="206">
        <v>3.03</v>
      </c>
      <c r="O8" s="186"/>
      <c r="P8" s="187"/>
      <c r="Q8" s="214"/>
      <c r="R8" s="218"/>
      <c r="S8" s="219"/>
      <c r="T8" s="219"/>
      <c r="U8" s="219"/>
      <c r="V8" s="219"/>
      <c r="W8" s="219"/>
      <c r="X8" s="219"/>
      <c r="Y8" s="219"/>
      <c r="Z8" s="219"/>
      <c r="AA8" s="219"/>
      <c r="AB8" s="219"/>
      <c r="AC8" s="219"/>
      <c r="AD8" s="219"/>
      <c r="AE8" s="219"/>
      <c r="AF8" s="219"/>
      <c r="AG8" s="219"/>
      <c r="AH8" s="220"/>
    </row>
    <row r="9" spans="2:34" ht="12.75">
      <c r="B9" s="184"/>
      <c r="C9" s="188" t="s">
        <v>118</v>
      </c>
      <c r="D9" s="186"/>
      <c r="E9" s="225"/>
      <c r="F9" s="186"/>
      <c r="G9" s="186"/>
      <c r="H9" s="186"/>
      <c r="I9" s="186"/>
      <c r="J9" s="186"/>
      <c r="K9" s="188" t="s">
        <v>128</v>
      </c>
      <c r="L9" s="186"/>
      <c r="M9" s="186"/>
      <c r="N9" s="174">
        <v>128.2</v>
      </c>
      <c r="O9" s="186"/>
      <c r="P9" s="187"/>
      <c r="Q9" s="214"/>
      <c r="R9" s="218"/>
      <c r="S9" s="219"/>
      <c r="T9" s="219"/>
      <c r="U9" s="219"/>
      <c r="V9" s="219"/>
      <c r="W9" s="219"/>
      <c r="X9" s="219"/>
      <c r="Y9" s="219"/>
      <c r="Z9" s="219"/>
      <c r="AA9" s="219"/>
      <c r="AB9" s="219"/>
      <c r="AC9" s="219"/>
      <c r="AD9" s="219"/>
      <c r="AE9" s="219"/>
      <c r="AF9" s="219"/>
      <c r="AG9" s="219"/>
      <c r="AH9" s="220"/>
    </row>
    <row r="10" spans="2:34" ht="12.75">
      <c r="B10" s="184"/>
      <c r="C10" s="191" t="s">
        <v>41</v>
      </c>
      <c r="D10" s="191" t="s">
        <v>40</v>
      </c>
      <c r="E10" s="191" t="s">
        <v>52</v>
      </c>
      <c r="F10" s="191" t="s">
        <v>48</v>
      </c>
      <c r="G10" s="191" t="s">
        <v>49</v>
      </c>
      <c r="H10" s="191" t="s">
        <v>50</v>
      </c>
      <c r="I10" s="191"/>
      <c r="J10" s="186"/>
      <c r="K10" s="188" t="s">
        <v>126</v>
      </c>
      <c r="L10" s="186"/>
      <c r="M10" s="186"/>
      <c r="N10" s="226">
        <f>N9*(1/N8+100/I39-1)</f>
        <v>337.21254125412537</v>
      </c>
      <c r="O10" s="186"/>
      <c r="P10" s="187"/>
      <c r="Q10" s="214"/>
      <c r="R10" s="218"/>
      <c r="S10" s="219"/>
      <c r="T10" s="219"/>
      <c r="U10" s="219"/>
      <c r="V10" s="219"/>
      <c r="W10" s="219"/>
      <c r="X10" s="219"/>
      <c r="Y10" s="219"/>
      <c r="Z10" s="219"/>
      <c r="AA10" s="219"/>
      <c r="AB10" s="219"/>
      <c r="AC10" s="219"/>
      <c r="AD10" s="219"/>
      <c r="AE10" s="219"/>
      <c r="AF10" s="219"/>
      <c r="AG10" s="219"/>
      <c r="AH10" s="220"/>
    </row>
    <row r="11" spans="2:34" ht="12.75">
      <c r="B11" s="184"/>
      <c r="C11" s="194">
        <v>4</v>
      </c>
      <c r="D11" s="227">
        <v>15</v>
      </c>
      <c r="E11" s="227">
        <v>45</v>
      </c>
      <c r="F11" s="228">
        <v>4</v>
      </c>
      <c r="G11" s="228">
        <v>7.5</v>
      </c>
      <c r="H11" s="228">
        <v>3.5</v>
      </c>
      <c r="I11" s="185"/>
      <c r="J11" s="186"/>
      <c r="K11" s="188" t="s">
        <v>117</v>
      </c>
      <c r="L11" s="186"/>
      <c r="M11" s="192"/>
      <c r="N11" s="207">
        <v>26</v>
      </c>
      <c r="O11" s="186"/>
      <c r="P11" s="187"/>
      <c r="Q11" s="214"/>
      <c r="R11" s="218"/>
      <c r="S11" s="219"/>
      <c r="T11" s="219"/>
      <c r="U11" s="219"/>
      <c r="V11" s="219"/>
      <c r="W11" s="219"/>
      <c r="X11" s="219"/>
      <c r="Y11" s="219"/>
      <c r="Z11" s="219"/>
      <c r="AA11" s="219"/>
      <c r="AB11" s="219"/>
      <c r="AC11" s="219"/>
      <c r="AD11" s="219"/>
      <c r="AE11" s="219"/>
      <c r="AF11" s="219"/>
      <c r="AG11" s="219"/>
      <c r="AH11" s="220"/>
    </row>
    <row r="12" spans="2:34" ht="13.5" thickBot="1">
      <c r="B12" s="184"/>
      <c r="C12" s="185"/>
      <c r="D12" s="185"/>
      <c r="E12" s="185"/>
      <c r="F12" s="185"/>
      <c r="G12" s="186"/>
      <c r="H12" s="186"/>
      <c r="I12" s="186"/>
      <c r="J12" s="186"/>
      <c r="K12" s="185"/>
      <c r="L12" s="185"/>
      <c r="M12" s="185"/>
      <c r="N12" s="185"/>
      <c r="O12" s="186"/>
      <c r="P12" s="187"/>
      <c r="Q12" s="214"/>
      <c r="R12" s="218"/>
      <c r="S12" s="219"/>
      <c r="T12" s="307" t="s">
        <v>119</v>
      </c>
      <c r="U12" s="308"/>
      <c r="V12" s="308"/>
      <c r="W12" s="308"/>
      <c r="X12" s="308"/>
      <c r="Y12" s="308"/>
      <c r="Z12" s="308"/>
      <c r="AA12" s="308"/>
      <c r="AB12" s="308"/>
      <c r="AC12" s="308"/>
      <c r="AD12" s="308"/>
      <c r="AE12" s="308"/>
      <c r="AF12" s="308"/>
      <c r="AG12" s="309"/>
      <c r="AH12" s="220"/>
    </row>
    <row r="13" spans="2:34" ht="17.25" customHeight="1" thickBot="1" thickTop="1">
      <c r="B13" s="184"/>
      <c r="C13" s="229"/>
      <c r="D13" s="229"/>
      <c r="E13" s="230"/>
      <c r="F13" s="186"/>
      <c r="G13" s="304" t="s">
        <v>116</v>
      </c>
      <c r="H13" s="305"/>
      <c r="I13" s="305"/>
      <c r="J13" s="305"/>
      <c r="K13" s="305"/>
      <c r="L13" s="305"/>
      <c r="M13" s="305"/>
      <c r="N13" s="305"/>
      <c r="O13" s="306"/>
      <c r="P13" s="187"/>
      <c r="Q13" s="214"/>
      <c r="R13" s="218"/>
      <c r="S13" s="219"/>
      <c r="T13" s="219"/>
      <c r="U13" s="219"/>
      <c r="V13" s="219"/>
      <c r="W13" s="219"/>
      <c r="X13" s="219"/>
      <c r="Y13" s="219"/>
      <c r="Z13" s="219"/>
      <c r="AA13" s="219"/>
      <c r="AB13" s="219"/>
      <c r="AC13" s="219"/>
      <c r="AD13" s="219"/>
      <c r="AE13" s="219"/>
      <c r="AF13" s="219"/>
      <c r="AG13" s="219"/>
      <c r="AH13" s="220"/>
    </row>
    <row r="14" spans="2:34" ht="13.5" customHeight="1" thickTop="1">
      <c r="B14" s="184"/>
      <c r="C14" s="186"/>
      <c r="D14" s="186"/>
      <c r="E14" s="186"/>
      <c r="F14" s="231"/>
      <c r="G14" s="316" t="s">
        <v>96</v>
      </c>
      <c r="H14" s="317"/>
      <c r="I14" s="318"/>
      <c r="J14" s="316" t="s">
        <v>89</v>
      </c>
      <c r="K14" s="317"/>
      <c r="L14" s="318"/>
      <c r="M14" s="316" t="s">
        <v>90</v>
      </c>
      <c r="N14" s="317"/>
      <c r="O14" s="318"/>
      <c r="P14" s="232"/>
      <c r="Q14" s="214"/>
      <c r="R14" s="218"/>
      <c r="S14" s="219"/>
      <c r="T14" s="233" t="s">
        <v>79</v>
      </c>
      <c r="U14" s="233" t="s">
        <v>81</v>
      </c>
      <c r="V14" s="319" t="s">
        <v>80</v>
      </c>
      <c r="W14" s="320"/>
      <c r="X14" s="321"/>
      <c r="Y14" s="219"/>
      <c r="Z14" s="319" t="s">
        <v>91</v>
      </c>
      <c r="AA14" s="320"/>
      <c r="AB14" s="321"/>
      <c r="AC14" s="219"/>
      <c r="AD14" s="319" t="s">
        <v>98</v>
      </c>
      <c r="AE14" s="320"/>
      <c r="AF14" s="321"/>
      <c r="AG14" s="219"/>
      <c r="AH14" s="220"/>
    </row>
    <row r="15" spans="2:34" ht="12.75" customHeight="1">
      <c r="B15" s="184"/>
      <c r="C15" s="236" t="s">
        <v>2</v>
      </c>
      <c r="D15" s="236" t="s">
        <v>0</v>
      </c>
      <c r="E15" s="236" t="s">
        <v>1</v>
      </c>
      <c r="F15" s="237" t="s">
        <v>3</v>
      </c>
      <c r="G15" s="238" t="s">
        <v>44</v>
      </c>
      <c r="H15" s="236" t="s">
        <v>42</v>
      </c>
      <c r="I15" s="237" t="s">
        <v>43</v>
      </c>
      <c r="J15" s="236" t="s">
        <v>44</v>
      </c>
      <c r="K15" s="236" t="s">
        <v>42</v>
      </c>
      <c r="L15" s="237" t="s">
        <v>43</v>
      </c>
      <c r="M15" s="238" t="s">
        <v>44</v>
      </c>
      <c r="N15" s="236" t="s">
        <v>42</v>
      </c>
      <c r="O15" s="237" t="s">
        <v>43</v>
      </c>
      <c r="P15" s="239"/>
      <c r="Q15" s="214"/>
      <c r="R15" s="218"/>
      <c r="S15" s="219"/>
      <c r="T15" s="233" t="s">
        <v>77</v>
      </c>
      <c r="U15" s="233"/>
      <c r="V15" s="234" t="s">
        <v>44</v>
      </c>
      <c r="W15" s="233" t="s">
        <v>42</v>
      </c>
      <c r="X15" s="235" t="s">
        <v>43</v>
      </c>
      <c r="Y15" s="240" t="s">
        <v>82</v>
      </c>
      <c r="Z15" s="234" t="s">
        <v>44</v>
      </c>
      <c r="AA15" s="233" t="s">
        <v>42</v>
      </c>
      <c r="AB15" s="235" t="s">
        <v>43</v>
      </c>
      <c r="AC15" s="240" t="s">
        <v>82</v>
      </c>
      <c r="AD15" s="234" t="s">
        <v>44</v>
      </c>
      <c r="AE15" s="233" t="s">
        <v>42</v>
      </c>
      <c r="AF15" s="235" t="s">
        <v>43</v>
      </c>
      <c r="AG15" s="240" t="s">
        <v>82</v>
      </c>
      <c r="AH15" s="220"/>
    </row>
    <row r="16" spans="2:34" ht="12.75">
      <c r="B16" s="184"/>
      <c r="C16" s="208">
        <v>1</v>
      </c>
      <c r="D16" s="209"/>
      <c r="E16" s="210"/>
      <c r="F16" s="241"/>
      <c r="G16" s="242"/>
      <c r="H16" s="242"/>
      <c r="I16" s="243">
        <v>100</v>
      </c>
      <c r="J16" s="242"/>
      <c r="K16" s="244"/>
      <c r="L16" s="243">
        <v>100</v>
      </c>
      <c r="M16" s="242"/>
      <c r="N16" s="244"/>
      <c r="O16" s="243">
        <v>100</v>
      </c>
      <c r="P16" s="196"/>
      <c r="Q16" s="214"/>
      <c r="R16" s="218"/>
      <c r="S16" s="219"/>
      <c r="T16" s="245" t="str">
        <f>IF((I16-L16)&gt;3,(O16-I16)/(I16-L16)," ")</f>
        <v> </v>
      </c>
      <c r="U16" s="246"/>
      <c r="V16" s="247"/>
      <c r="W16" s="248"/>
      <c r="X16" s="249">
        <f aca="true" t="shared" si="0" ref="X16:X34">X17+W17</f>
        <v>100</v>
      </c>
      <c r="Y16" s="250">
        <f aca="true" t="shared" si="1" ref="Y16:Y35">X16-I16</f>
        <v>0</v>
      </c>
      <c r="Z16" s="247"/>
      <c r="AA16" s="248"/>
      <c r="AB16" s="249">
        <f>AB17+AA17</f>
        <v>100</v>
      </c>
      <c r="AC16" s="250">
        <f aca="true" t="shared" si="2" ref="AC16:AC35">AB16-O16</f>
        <v>0</v>
      </c>
      <c r="AD16" s="247"/>
      <c r="AE16" s="248"/>
      <c r="AF16" s="249">
        <f>AF17+AE17</f>
        <v>100</v>
      </c>
      <c r="AG16" s="250">
        <f aca="true" t="shared" si="3" ref="AG16:AG35">AF16-L16</f>
        <v>0</v>
      </c>
      <c r="AH16" s="251"/>
    </row>
    <row r="17" spans="2:34" ht="12.75">
      <c r="B17" s="184"/>
      <c r="C17" s="208">
        <f aca="true" t="shared" si="4" ref="C17:C35">C16+1</f>
        <v>2</v>
      </c>
      <c r="D17" s="209"/>
      <c r="E17" s="210"/>
      <c r="F17" s="252">
        <f aca="true" t="shared" si="5" ref="F17:F35">(E16*E17)^0.5</f>
        <v>0</v>
      </c>
      <c r="G17" s="253">
        <f aca="true" t="shared" si="6" ref="G17:G36">(H17/100)*$N$9</f>
        <v>128.2</v>
      </c>
      <c r="H17" s="258">
        <f aca="true" t="shared" si="7" ref="H17:H36">I16-I17</f>
        <v>100</v>
      </c>
      <c r="I17" s="211"/>
      <c r="J17" s="259">
        <f aca="true" t="shared" si="8" ref="J17:J36">(K17/100)*$N$9*$T$40/(1+$T$40)</f>
        <v>62.973694477950836</v>
      </c>
      <c r="K17" s="258">
        <f aca="true" t="shared" si="9" ref="K17:K36">L16-L17</f>
        <v>100</v>
      </c>
      <c r="L17" s="211"/>
      <c r="M17" s="259">
        <f aca="true" t="shared" si="10" ref="M17:M36">(N17/100)*$N$9/(1+$T$40)</f>
        <v>65.22630552204915</v>
      </c>
      <c r="N17" s="258">
        <f aca="true" t="shared" si="11" ref="N17:N36">O16-O17</f>
        <v>100</v>
      </c>
      <c r="O17" s="211"/>
      <c r="P17" s="196"/>
      <c r="Q17" s="214"/>
      <c r="R17" s="218"/>
      <c r="S17" s="219"/>
      <c r="T17" s="260" t="str">
        <f aca="true" t="shared" si="12" ref="T17:T35">IF((I17-L17)&gt;5,(O17-I17)/(I17-L17)," ")</f>
        <v> </v>
      </c>
      <c r="U17" s="261">
        <f aca="true" t="shared" si="13" ref="U17:U36">((1+$T$40)*H17-$T$40*K17-N17)/((1+$T$40)^2/2/$I$40+$T$40^2/2/$L$40+1/2/$O$40)</f>
        <v>3.0844691601835044E-15</v>
      </c>
      <c r="V17" s="262">
        <f aca="true" t="shared" si="14" ref="V17:V36">(W17/100)*$N$9</f>
        <v>128.2</v>
      </c>
      <c r="W17" s="263">
        <f aca="true" t="shared" si="15" ref="W17:W36">H17-U17*(1+$T$40)/2/$I$40</f>
        <v>100</v>
      </c>
      <c r="X17" s="264">
        <f t="shared" si="0"/>
        <v>0</v>
      </c>
      <c r="Y17" s="250">
        <f t="shared" si="1"/>
        <v>0</v>
      </c>
      <c r="Z17" s="262">
        <f aca="true" t="shared" si="16" ref="Z17:Z36">(AA17/100)*$N$9/(1+$T$40)</f>
        <v>65.22630552204915</v>
      </c>
      <c r="AA17" s="263">
        <f aca="true" t="shared" si="17" ref="AA17:AA36">N17+U17/2/$O$40</f>
        <v>100</v>
      </c>
      <c r="AB17" s="264">
        <f aca="true" t="shared" si="18" ref="AB17:AB33">AB18+AA18</f>
        <v>0</v>
      </c>
      <c r="AC17" s="250">
        <f t="shared" si="2"/>
        <v>0</v>
      </c>
      <c r="AD17" s="262">
        <f aca="true" t="shared" si="19" ref="AD17:AD36">(AE17/100)*$T$40*$N$9/(1+$T$40)</f>
        <v>62.973694477950836</v>
      </c>
      <c r="AE17" s="263">
        <f aca="true" t="shared" si="20" ref="AE17:AE36">K17+U17*$T$40/2/$L$40</f>
        <v>100</v>
      </c>
      <c r="AF17" s="264">
        <f aca="true" t="shared" si="21" ref="AF17:AF33">AF18+AE18</f>
        <v>0</v>
      </c>
      <c r="AG17" s="250">
        <f t="shared" si="3"/>
        <v>0</v>
      </c>
      <c r="AH17" s="251"/>
    </row>
    <row r="18" spans="2:34" ht="12.75">
      <c r="B18" s="184"/>
      <c r="C18" s="208">
        <f t="shared" si="4"/>
        <v>3</v>
      </c>
      <c r="D18" s="209"/>
      <c r="E18" s="210"/>
      <c r="F18" s="265">
        <f t="shared" si="5"/>
        <v>0</v>
      </c>
      <c r="G18" s="266">
        <f t="shared" si="6"/>
        <v>0</v>
      </c>
      <c r="H18" s="267">
        <f t="shared" si="7"/>
        <v>0</v>
      </c>
      <c r="I18" s="211"/>
      <c r="J18" s="268">
        <f t="shared" si="8"/>
        <v>0</v>
      </c>
      <c r="K18" s="267">
        <f t="shared" si="9"/>
        <v>0</v>
      </c>
      <c r="L18" s="211"/>
      <c r="M18" s="268">
        <f t="shared" si="10"/>
        <v>0</v>
      </c>
      <c r="N18" s="267">
        <f t="shared" si="11"/>
        <v>0</v>
      </c>
      <c r="O18" s="211"/>
      <c r="P18" s="196"/>
      <c r="Q18" s="214"/>
      <c r="R18" s="218"/>
      <c r="S18" s="219"/>
      <c r="T18" s="269" t="str">
        <f t="shared" si="12"/>
        <v> </v>
      </c>
      <c r="U18" s="261">
        <f t="shared" si="13"/>
        <v>0</v>
      </c>
      <c r="V18" s="262">
        <f t="shared" si="14"/>
        <v>0</v>
      </c>
      <c r="W18" s="263">
        <f t="shared" si="15"/>
        <v>0</v>
      </c>
      <c r="X18" s="264">
        <f t="shared" si="0"/>
        <v>0</v>
      </c>
      <c r="Y18" s="250">
        <f t="shared" si="1"/>
        <v>0</v>
      </c>
      <c r="Z18" s="262">
        <f t="shared" si="16"/>
        <v>0</v>
      </c>
      <c r="AA18" s="263">
        <f t="shared" si="17"/>
        <v>0</v>
      </c>
      <c r="AB18" s="264">
        <f t="shared" si="18"/>
        <v>0</v>
      </c>
      <c r="AC18" s="250">
        <f t="shared" si="2"/>
        <v>0</v>
      </c>
      <c r="AD18" s="262">
        <f t="shared" si="19"/>
        <v>0</v>
      </c>
      <c r="AE18" s="263">
        <f t="shared" si="20"/>
        <v>0</v>
      </c>
      <c r="AF18" s="264">
        <f t="shared" si="21"/>
        <v>0</v>
      </c>
      <c r="AG18" s="250">
        <f t="shared" si="3"/>
        <v>0</v>
      </c>
      <c r="AH18" s="251"/>
    </row>
    <row r="19" spans="2:34" ht="12.75">
      <c r="B19" s="184"/>
      <c r="C19" s="208">
        <f t="shared" si="4"/>
        <v>4</v>
      </c>
      <c r="D19" s="209"/>
      <c r="E19" s="210"/>
      <c r="F19" s="265">
        <f t="shared" si="5"/>
        <v>0</v>
      </c>
      <c r="G19" s="266">
        <f t="shared" si="6"/>
        <v>0</v>
      </c>
      <c r="H19" s="267">
        <f t="shared" si="7"/>
        <v>0</v>
      </c>
      <c r="I19" s="211"/>
      <c r="J19" s="268">
        <f t="shared" si="8"/>
        <v>0</v>
      </c>
      <c r="K19" s="267">
        <f t="shared" si="9"/>
        <v>0</v>
      </c>
      <c r="L19" s="211"/>
      <c r="M19" s="268">
        <f t="shared" si="10"/>
        <v>0</v>
      </c>
      <c r="N19" s="267">
        <f t="shared" si="11"/>
        <v>0</v>
      </c>
      <c r="O19" s="211"/>
      <c r="P19" s="196"/>
      <c r="Q19" s="214"/>
      <c r="R19" s="218"/>
      <c r="S19" s="219"/>
      <c r="T19" s="269" t="str">
        <f t="shared" si="12"/>
        <v> </v>
      </c>
      <c r="U19" s="261">
        <f t="shared" si="13"/>
        <v>0</v>
      </c>
      <c r="V19" s="262">
        <f t="shared" si="14"/>
        <v>0</v>
      </c>
      <c r="W19" s="263">
        <f t="shared" si="15"/>
        <v>0</v>
      </c>
      <c r="X19" s="264">
        <f t="shared" si="0"/>
        <v>0</v>
      </c>
      <c r="Y19" s="250">
        <f t="shared" si="1"/>
        <v>0</v>
      </c>
      <c r="Z19" s="262">
        <f t="shared" si="16"/>
        <v>0</v>
      </c>
      <c r="AA19" s="263">
        <f t="shared" si="17"/>
        <v>0</v>
      </c>
      <c r="AB19" s="264">
        <f t="shared" si="18"/>
        <v>0</v>
      </c>
      <c r="AC19" s="250">
        <f t="shared" si="2"/>
        <v>0</v>
      </c>
      <c r="AD19" s="262">
        <f t="shared" si="19"/>
        <v>0</v>
      </c>
      <c r="AE19" s="263">
        <f t="shared" si="20"/>
        <v>0</v>
      </c>
      <c r="AF19" s="264">
        <f t="shared" si="21"/>
        <v>0</v>
      </c>
      <c r="AG19" s="250">
        <f t="shared" si="3"/>
        <v>0</v>
      </c>
      <c r="AH19" s="251"/>
    </row>
    <row r="20" spans="2:34" ht="12.75">
      <c r="B20" s="184"/>
      <c r="C20" s="208">
        <f t="shared" si="4"/>
        <v>5</v>
      </c>
      <c r="D20" s="209"/>
      <c r="E20" s="210"/>
      <c r="F20" s="265">
        <f t="shared" si="5"/>
        <v>0</v>
      </c>
      <c r="G20" s="266">
        <f t="shared" si="6"/>
        <v>0</v>
      </c>
      <c r="H20" s="267">
        <f t="shared" si="7"/>
        <v>0</v>
      </c>
      <c r="I20" s="211"/>
      <c r="J20" s="268">
        <f t="shared" si="8"/>
        <v>0</v>
      </c>
      <c r="K20" s="267">
        <f t="shared" si="9"/>
        <v>0</v>
      </c>
      <c r="L20" s="211"/>
      <c r="M20" s="268">
        <f t="shared" si="10"/>
        <v>0</v>
      </c>
      <c r="N20" s="267">
        <f t="shared" si="11"/>
        <v>0</v>
      </c>
      <c r="O20" s="211"/>
      <c r="P20" s="196"/>
      <c r="Q20" s="214"/>
      <c r="R20" s="218"/>
      <c r="S20" s="219"/>
      <c r="T20" s="269" t="str">
        <f t="shared" si="12"/>
        <v> </v>
      </c>
      <c r="U20" s="261">
        <f t="shared" si="13"/>
        <v>0</v>
      </c>
      <c r="V20" s="262">
        <f t="shared" si="14"/>
        <v>0</v>
      </c>
      <c r="W20" s="263">
        <f t="shared" si="15"/>
        <v>0</v>
      </c>
      <c r="X20" s="264">
        <f t="shared" si="0"/>
        <v>0</v>
      </c>
      <c r="Y20" s="250">
        <f t="shared" si="1"/>
        <v>0</v>
      </c>
      <c r="Z20" s="262">
        <f t="shared" si="16"/>
        <v>0</v>
      </c>
      <c r="AA20" s="263">
        <f t="shared" si="17"/>
        <v>0</v>
      </c>
      <c r="AB20" s="264">
        <f t="shared" si="18"/>
        <v>0</v>
      </c>
      <c r="AC20" s="250">
        <f t="shared" si="2"/>
        <v>0</v>
      </c>
      <c r="AD20" s="262">
        <f t="shared" si="19"/>
        <v>0</v>
      </c>
      <c r="AE20" s="263">
        <f t="shared" si="20"/>
        <v>0</v>
      </c>
      <c r="AF20" s="264">
        <f t="shared" si="21"/>
        <v>0</v>
      </c>
      <c r="AG20" s="250">
        <f t="shared" si="3"/>
        <v>0</v>
      </c>
      <c r="AH20" s="251"/>
    </row>
    <row r="21" spans="2:34" ht="12.75">
      <c r="B21" s="184"/>
      <c r="C21" s="208">
        <f t="shared" si="4"/>
        <v>6</v>
      </c>
      <c r="D21" s="209"/>
      <c r="E21" s="210"/>
      <c r="F21" s="265">
        <f t="shared" si="5"/>
        <v>0</v>
      </c>
      <c r="G21" s="266">
        <f t="shared" si="6"/>
        <v>0</v>
      </c>
      <c r="H21" s="267">
        <f t="shared" si="7"/>
        <v>0</v>
      </c>
      <c r="I21" s="211"/>
      <c r="J21" s="268">
        <f t="shared" si="8"/>
        <v>0</v>
      </c>
      <c r="K21" s="267">
        <f t="shared" si="9"/>
        <v>0</v>
      </c>
      <c r="L21" s="211"/>
      <c r="M21" s="268">
        <f t="shared" si="10"/>
        <v>0</v>
      </c>
      <c r="N21" s="267">
        <f t="shared" si="11"/>
        <v>0</v>
      </c>
      <c r="O21" s="211"/>
      <c r="P21" s="196"/>
      <c r="Q21" s="214"/>
      <c r="R21" s="218"/>
      <c r="S21" s="219"/>
      <c r="T21" s="269" t="str">
        <f t="shared" si="12"/>
        <v> </v>
      </c>
      <c r="U21" s="261">
        <f t="shared" si="13"/>
        <v>0</v>
      </c>
      <c r="V21" s="262">
        <f t="shared" si="14"/>
        <v>0</v>
      </c>
      <c r="W21" s="263">
        <f t="shared" si="15"/>
        <v>0</v>
      </c>
      <c r="X21" s="264">
        <f t="shared" si="0"/>
        <v>0</v>
      </c>
      <c r="Y21" s="250">
        <f t="shared" si="1"/>
        <v>0</v>
      </c>
      <c r="Z21" s="262">
        <f t="shared" si="16"/>
        <v>0</v>
      </c>
      <c r="AA21" s="263">
        <f t="shared" si="17"/>
        <v>0</v>
      </c>
      <c r="AB21" s="264">
        <f t="shared" si="18"/>
        <v>0</v>
      </c>
      <c r="AC21" s="250">
        <f t="shared" si="2"/>
        <v>0</v>
      </c>
      <c r="AD21" s="262">
        <f t="shared" si="19"/>
        <v>0</v>
      </c>
      <c r="AE21" s="263">
        <f t="shared" si="20"/>
        <v>0</v>
      </c>
      <c r="AF21" s="264">
        <f t="shared" si="21"/>
        <v>0</v>
      </c>
      <c r="AG21" s="250">
        <f t="shared" si="3"/>
        <v>0</v>
      </c>
      <c r="AH21" s="251"/>
    </row>
    <row r="22" spans="2:34" ht="12.75">
      <c r="B22" s="184"/>
      <c r="C22" s="208">
        <f t="shared" si="4"/>
        <v>7</v>
      </c>
      <c r="D22" s="209"/>
      <c r="E22" s="210"/>
      <c r="F22" s="265">
        <f t="shared" si="5"/>
        <v>0</v>
      </c>
      <c r="G22" s="266">
        <f t="shared" si="6"/>
        <v>0</v>
      </c>
      <c r="H22" s="267">
        <f t="shared" si="7"/>
        <v>0</v>
      </c>
      <c r="I22" s="211"/>
      <c r="J22" s="268">
        <f t="shared" si="8"/>
        <v>0</v>
      </c>
      <c r="K22" s="267">
        <f t="shared" si="9"/>
        <v>0</v>
      </c>
      <c r="L22" s="211"/>
      <c r="M22" s="268">
        <f t="shared" si="10"/>
        <v>0</v>
      </c>
      <c r="N22" s="267">
        <f t="shared" si="11"/>
        <v>0</v>
      </c>
      <c r="O22" s="211"/>
      <c r="P22" s="196"/>
      <c r="Q22" s="214"/>
      <c r="R22" s="218"/>
      <c r="S22" s="219"/>
      <c r="T22" s="269" t="str">
        <f t="shared" si="12"/>
        <v> </v>
      </c>
      <c r="U22" s="261">
        <f t="shared" si="13"/>
        <v>0</v>
      </c>
      <c r="V22" s="262">
        <f t="shared" si="14"/>
        <v>0</v>
      </c>
      <c r="W22" s="263">
        <f t="shared" si="15"/>
        <v>0</v>
      </c>
      <c r="X22" s="264">
        <f t="shared" si="0"/>
        <v>0</v>
      </c>
      <c r="Y22" s="250">
        <f t="shared" si="1"/>
        <v>0</v>
      </c>
      <c r="Z22" s="262">
        <f t="shared" si="16"/>
        <v>0</v>
      </c>
      <c r="AA22" s="263">
        <f t="shared" si="17"/>
        <v>0</v>
      </c>
      <c r="AB22" s="264">
        <f t="shared" si="18"/>
        <v>0</v>
      </c>
      <c r="AC22" s="250">
        <f t="shared" si="2"/>
        <v>0</v>
      </c>
      <c r="AD22" s="262">
        <f t="shared" si="19"/>
        <v>0</v>
      </c>
      <c r="AE22" s="263">
        <f t="shared" si="20"/>
        <v>0</v>
      </c>
      <c r="AF22" s="264">
        <f t="shared" si="21"/>
        <v>0</v>
      </c>
      <c r="AG22" s="250">
        <f t="shared" si="3"/>
        <v>0</v>
      </c>
      <c r="AH22" s="251"/>
    </row>
    <row r="23" spans="2:34" ht="12.75">
      <c r="B23" s="184"/>
      <c r="C23" s="208">
        <f t="shared" si="4"/>
        <v>8</v>
      </c>
      <c r="D23" s="209"/>
      <c r="E23" s="210"/>
      <c r="F23" s="265">
        <f t="shared" si="5"/>
        <v>0</v>
      </c>
      <c r="G23" s="266">
        <f t="shared" si="6"/>
        <v>0</v>
      </c>
      <c r="H23" s="267">
        <f t="shared" si="7"/>
        <v>0</v>
      </c>
      <c r="I23" s="211"/>
      <c r="J23" s="268">
        <f t="shared" si="8"/>
        <v>0</v>
      </c>
      <c r="K23" s="267">
        <f t="shared" si="9"/>
        <v>0</v>
      </c>
      <c r="L23" s="211"/>
      <c r="M23" s="268">
        <f t="shared" si="10"/>
        <v>0</v>
      </c>
      <c r="N23" s="267">
        <f t="shared" si="11"/>
        <v>0</v>
      </c>
      <c r="O23" s="211"/>
      <c r="P23" s="196"/>
      <c r="Q23" s="214"/>
      <c r="R23" s="218"/>
      <c r="S23" s="219"/>
      <c r="T23" s="269" t="str">
        <f t="shared" si="12"/>
        <v> </v>
      </c>
      <c r="U23" s="261">
        <f t="shared" si="13"/>
        <v>0</v>
      </c>
      <c r="V23" s="262">
        <f t="shared" si="14"/>
        <v>0</v>
      </c>
      <c r="W23" s="263">
        <f t="shared" si="15"/>
        <v>0</v>
      </c>
      <c r="X23" s="264">
        <f t="shared" si="0"/>
        <v>0</v>
      </c>
      <c r="Y23" s="250">
        <f t="shared" si="1"/>
        <v>0</v>
      </c>
      <c r="Z23" s="262">
        <f t="shared" si="16"/>
        <v>0</v>
      </c>
      <c r="AA23" s="263">
        <f t="shared" si="17"/>
        <v>0</v>
      </c>
      <c r="AB23" s="264">
        <f t="shared" si="18"/>
        <v>0</v>
      </c>
      <c r="AC23" s="250">
        <f t="shared" si="2"/>
        <v>0</v>
      </c>
      <c r="AD23" s="262">
        <f t="shared" si="19"/>
        <v>0</v>
      </c>
      <c r="AE23" s="263">
        <f t="shared" si="20"/>
        <v>0</v>
      </c>
      <c r="AF23" s="264">
        <f t="shared" si="21"/>
        <v>0</v>
      </c>
      <c r="AG23" s="250">
        <f t="shared" si="3"/>
        <v>0</v>
      </c>
      <c r="AH23" s="251"/>
    </row>
    <row r="24" spans="2:34" ht="12.75">
      <c r="B24" s="184"/>
      <c r="C24" s="208">
        <f t="shared" si="4"/>
        <v>9</v>
      </c>
      <c r="D24" s="209"/>
      <c r="E24" s="210"/>
      <c r="F24" s="265">
        <f t="shared" si="5"/>
        <v>0</v>
      </c>
      <c r="G24" s="266">
        <f t="shared" si="6"/>
        <v>0</v>
      </c>
      <c r="H24" s="267">
        <f t="shared" si="7"/>
        <v>0</v>
      </c>
      <c r="I24" s="211"/>
      <c r="J24" s="268">
        <f t="shared" si="8"/>
        <v>0</v>
      </c>
      <c r="K24" s="267">
        <f t="shared" si="9"/>
        <v>0</v>
      </c>
      <c r="L24" s="211"/>
      <c r="M24" s="268">
        <f t="shared" si="10"/>
        <v>0</v>
      </c>
      <c r="N24" s="267">
        <f t="shared" si="11"/>
        <v>0</v>
      </c>
      <c r="O24" s="211"/>
      <c r="P24" s="196"/>
      <c r="Q24" s="214"/>
      <c r="R24" s="218"/>
      <c r="S24" s="219"/>
      <c r="T24" s="269" t="str">
        <f t="shared" si="12"/>
        <v> </v>
      </c>
      <c r="U24" s="261">
        <f t="shared" si="13"/>
        <v>0</v>
      </c>
      <c r="V24" s="262">
        <f t="shared" si="14"/>
        <v>0</v>
      </c>
      <c r="W24" s="263">
        <f t="shared" si="15"/>
        <v>0</v>
      </c>
      <c r="X24" s="264">
        <f t="shared" si="0"/>
        <v>0</v>
      </c>
      <c r="Y24" s="250">
        <f t="shared" si="1"/>
        <v>0</v>
      </c>
      <c r="Z24" s="262">
        <f t="shared" si="16"/>
        <v>0</v>
      </c>
      <c r="AA24" s="263">
        <f t="shared" si="17"/>
        <v>0</v>
      </c>
      <c r="AB24" s="264">
        <f t="shared" si="18"/>
        <v>0</v>
      </c>
      <c r="AC24" s="250">
        <f t="shared" si="2"/>
        <v>0</v>
      </c>
      <c r="AD24" s="262">
        <f t="shared" si="19"/>
        <v>0</v>
      </c>
      <c r="AE24" s="263">
        <f t="shared" si="20"/>
        <v>0</v>
      </c>
      <c r="AF24" s="264">
        <f t="shared" si="21"/>
        <v>0</v>
      </c>
      <c r="AG24" s="250">
        <f t="shared" si="3"/>
        <v>0</v>
      </c>
      <c r="AH24" s="251"/>
    </row>
    <row r="25" spans="2:34" ht="12.75">
      <c r="B25" s="184"/>
      <c r="C25" s="208">
        <f t="shared" si="4"/>
        <v>10</v>
      </c>
      <c r="D25" s="209"/>
      <c r="E25" s="210"/>
      <c r="F25" s="265">
        <f t="shared" si="5"/>
        <v>0</v>
      </c>
      <c r="G25" s="266">
        <f t="shared" si="6"/>
        <v>0</v>
      </c>
      <c r="H25" s="267">
        <f t="shared" si="7"/>
        <v>0</v>
      </c>
      <c r="I25" s="211"/>
      <c r="J25" s="268">
        <f t="shared" si="8"/>
        <v>0</v>
      </c>
      <c r="K25" s="267">
        <f t="shared" si="9"/>
        <v>0</v>
      </c>
      <c r="L25" s="211"/>
      <c r="M25" s="268">
        <f t="shared" si="10"/>
        <v>0</v>
      </c>
      <c r="N25" s="267">
        <f t="shared" si="11"/>
        <v>0</v>
      </c>
      <c r="O25" s="211"/>
      <c r="P25" s="196"/>
      <c r="Q25" s="214"/>
      <c r="R25" s="218"/>
      <c r="S25" s="219"/>
      <c r="T25" s="269" t="str">
        <f t="shared" si="12"/>
        <v> </v>
      </c>
      <c r="U25" s="261">
        <f t="shared" si="13"/>
        <v>0</v>
      </c>
      <c r="V25" s="262">
        <f t="shared" si="14"/>
        <v>0</v>
      </c>
      <c r="W25" s="263">
        <f t="shared" si="15"/>
        <v>0</v>
      </c>
      <c r="X25" s="264">
        <f t="shared" si="0"/>
        <v>0</v>
      </c>
      <c r="Y25" s="250">
        <f t="shared" si="1"/>
        <v>0</v>
      </c>
      <c r="Z25" s="262">
        <f t="shared" si="16"/>
        <v>0</v>
      </c>
      <c r="AA25" s="263">
        <f t="shared" si="17"/>
        <v>0</v>
      </c>
      <c r="AB25" s="264">
        <f t="shared" si="18"/>
        <v>0</v>
      </c>
      <c r="AC25" s="250">
        <f t="shared" si="2"/>
        <v>0</v>
      </c>
      <c r="AD25" s="262">
        <f t="shared" si="19"/>
        <v>0</v>
      </c>
      <c r="AE25" s="263">
        <f t="shared" si="20"/>
        <v>0</v>
      </c>
      <c r="AF25" s="264">
        <f t="shared" si="21"/>
        <v>0</v>
      </c>
      <c r="AG25" s="250">
        <f t="shared" si="3"/>
        <v>0</v>
      </c>
      <c r="AH25" s="251"/>
    </row>
    <row r="26" spans="2:34" ht="12.75">
      <c r="B26" s="184"/>
      <c r="C26" s="208">
        <f t="shared" si="4"/>
        <v>11</v>
      </c>
      <c r="D26" s="209"/>
      <c r="E26" s="210"/>
      <c r="F26" s="265">
        <f t="shared" si="5"/>
        <v>0</v>
      </c>
      <c r="G26" s="266">
        <f t="shared" si="6"/>
        <v>0</v>
      </c>
      <c r="H26" s="267">
        <f t="shared" si="7"/>
        <v>0</v>
      </c>
      <c r="I26" s="211"/>
      <c r="J26" s="268">
        <f t="shared" si="8"/>
        <v>0</v>
      </c>
      <c r="K26" s="267">
        <f t="shared" si="9"/>
        <v>0</v>
      </c>
      <c r="L26" s="211"/>
      <c r="M26" s="268">
        <f t="shared" si="10"/>
        <v>0</v>
      </c>
      <c r="N26" s="267">
        <f t="shared" si="11"/>
        <v>0</v>
      </c>
      <c r="O26" s="211"/>
      <c r="P26" s="196"/>
      <c r="Q26" s="214"/>
      <c r="R26" s="218"/>
      <c r="S26" s="219"/>
      <c r="T26" s="269" t="str">
        <f t="shared" si="12"/>
        <v> </v>
      </c>
      <c r="U26" s="261">
        <f t="shared" si="13"/>
        <v>0</v>
      </c>
      <c r="V26" s="262">
        <f t="shared" si="14"/>
        <v>0</v>
      </c>
      <c r="W26" s="263">
        <f t="shared" si="15"/>
        <v>0</v>
      </c>
      <c r="X26" s="264">
        <f t="shared" si="0"/>
        <v>0</v>
      </c>
      <c r="Y26" s="250">
        <f t="shared" si="1"/>
        <v>0</v>
      </c>
      <c r="Z26" s="262">
        <f t="shared" si="16"/>
        <v>0</v>
      </c>
      <c r="AA26" s="263">
        <f t="shared" si="17"/>
        <v>0</v>
      </c>
      <c r="AB26" s="264">
        <f t="shared" si="18"/>
        <v>0</v>
      </c>
      <c r="AC26" s="250">
        <f t="shared" si="2"/>
        <v>0</v>
      </c>
      <c r="AD26" s="262">
        <f t="shared" si="19"/>
        <v>0</v>
      </c>
      <c r="AE26" s="263">
        <f t="shared" si="20"/>
        <v>0</v>
      </c>
      <c r="AF26" s="264">
        <f t="shared" si="21"/>
        <v>0</v>
      </c>
      <c r="AG26" s="250">
        <f t="shared" si="3"/>
        <v>0</v>
      </c>
      <c r="AH26" s="251"/>
    </row>
    <row r="27" spans="2:34" ht="12.75">
      <c r="B27" s="184"/>
      <c r="C27" s="208">
        <f t="shared" si="4"/>
        <v>12</v>
      </c>
      <c r="D27" s="209"/>
      <c r="E27" s="210"/>
      <c r="F27" s="265">
        <f t="shared" si="5"/>
        <v>0</v>
      </c>
      <c r="G27" s="266">
        <f t="shared" si="6"/>
        <v>0</v>
      </c>
      <c r="H27" s="267">
        <f t="shared" si="7"/>
        <v>0</v>
      </c>
      <c r="I27" s="211"/>
      <c r="J27" s="268">
        <f t="shared" si="8"/>
        <v>0</v>
      </c>
      <c r="K27" s="267">
        <f t="shared" si="9"/>
        <v>0</v>
      </c>
      <c r="L27" s="211"/>
      <c r="M27" s="268">
        <f t="shared" si="10"/>
        <v>0</v>
      </c>
      <c r="N27" s="267">
        <f t="shared" si="11"/>
        <v>0</v>
      </c>
      <c r="O27" s="211"/>
      <c r="P27" s="196"/>
      <c r="Q27" s="214"/>
      <c r="R27" s="218"/>
      <c r="S27" s="219"/>
      <c r="T27" s="269" t="str">
        <f t="shared" si="12"/>
        <v> </v>
      </c>
      <c r="U27" s="261">
        <f t="shared" si="13"/>
        <v>0</v>
      </c>
      <c r="V27" s="262">
        <f t="shared" si="14"/>
        <v>0</v>
      </c>
      <c r="W27" s="263">
        <f t="shared" si="15"/>
        <v>0</v>
      </c>
      <c r="X27" s="264">
        <f t="shared" si="0"/>
        <v>0</v>
      </c>
      <c r="Y27" s="250">
        <f t="shared" si="1"/>
        <v>0</v>
      </c>
      <c r="Z27" s="262">
        <f t="shared" si="16"/>
        <v>0</v>
      </c>
      <c r="AA27" s="263">
        <f t="shared" si="17"/>
        <v>0</v>
      </c>
      <c r="AB27" s="264">
        <f t="shared" si="18"/>
        <v>0</v>
      </c>
      <c r="AC27" s="250">
        <f t="shared" si="2"/>
        <v>0</v>
      </c>
      <c r="AD27" s="262">
        <f t="shared" si="19"/>
        <v>0</v>
      </c>
      <c r="AE27" s="263">
        <f t="shared" si="20"/>
        <v>0</v>
      </c>
      <c r="AF27" s="264">
        <f t="shared" si="21"/>
        <v>0</v>
      </c>
      <c r="AG27" s="250">
        <f t="shared" si="3"/>
        <v>0</v>
      </c>
      <c r="AH27" s="251"/>
    </row>
    <row r="28" spans="2:34" ht="12.75">
      <c r="B28" s="184"/>
      <c r="C28" s="208">
        <f t="shared" si="4"/>
        <v>13</v>
      </c>
      <c r="D28" s="209"/>
      <c r="E28" s="210"/>
      <c r="F28" s="265">
        <f t="shared" si="5"/>
        <v>0</v>
      </c>
      <c r="G28" s="266">
        <f t="shared" si="6"/>
        <v>0</v>
      </c>
      <c r="H28" s="267">
        <f t="shared" si="7"/>
        <v>0</v>
      </c>
      <c r="I28" s="211"/>
      <c r="J28" s="268">
        <f t="shared" si="8"/>
        <v>0</v>
      </c>
      <c r="K28" s="267">
        <f t="shared" si="9"/>
        <v>0</v>
      </c>
      <c r="L28" s="211"/>
      <c r="M28" s="268">
        <f t="shared" si="10"/>
        <v>0</v>
      </c>
      <c r="N28" s="267">
        <f t="shared" si="11"/>
        <v>0</v>
      </c>
      <c r="O28" s="211"/>
      <c r="P28" s="196"/>
      <c r="Q28" s="214"/>
      <c r="R28" s="218"/>
      <c r="S28" s="219"/>
      <c r="T28" s="269" t="str">
        <f t="shared" si="12"/>
        <v> </v>
      </c>
      <c r="U28" s="261">
        <f t="shared" si="13"/>
        <v>0</v>
      </c>
      <c r="V28" s="262">
        <f t="shared" si="14"/>
        <v>0</v>
      </c>
      <c r="W28" s="263">
        <f t="shared" si="15"/>
        <v>0</v>
      </c>
      <c r="X28" s="264">
        <f t="shared" si="0"/>
        <v>0</v>
      </c>
      <c r="Y28" s="250">
        <f t="shared" si="1"/>
        <v>0</v>
      </c>
      <c r="Z28" s="262">
        <f t="shared" si="16"/>
        <v>0</v>
      </c>
      <c r="AA28" s="263">
        <f t="shared" si="17"/>
        <v>0</v>
      </c>
      <c r="AB28" s="264">
        <f t="shared" si="18"/>
        <v>0</v>
      </c>
      <c r="AC28" s="250">
        <f t="shared" si="2"/>
        <v>0</v>
      </c>
      <c r="AD28" s="262">
        <f t="shared" si="19"/>
        <v>0</v>
      </c>
      <c r="AE28" s="263">
        <f t="shared" si="20"/>
        <v>0</v>
      </c>
      <c r="AF28" s="264">
        <f t="shared" si="21"/>
        <v>0</v>
      </c>
      <c r="AG28" s="250">
        <f t="shared" si="3"/>
        <v>0</v>
      </c>
      <c r="AH28" s="251"/>
    </row>
    <row r="29" spans="2:34" ht="12.75">
      <c r="B29" s="184"/>
      <c r="C29" s="208">
        <f t="shared" si="4"/>
        <v>14</v>
      </c>
      <c r="D29" s="209">
        <v>48</v>
      </c>
      <c r="E29" s="210">
        <v>300</v>
      </c>
      <c r="F29" s="265">
        <f t="shared" si="5"/>
        <v>0</v>
      </c>
      <c r="G29" s="266">
        <f t="shared" si="6"/>
        <v>-128.2</v>
      </c>
      <c r="H29" s="267">
        <f t="shared" si="7"/>
        <v>-100</v>
      </c>
      <c r="I29" s="211">
        <v>100</v>
      </c>
      <c r="J29" s="268">
        <f t="shared" si="8"/>
        <v>-62.973694477950836</v>
      </c>
      <c r="K29" s="267">
        <f t="shared" si="9"/>
        <v>-100</v>
      </c>
      <c r="L29" s="211">
        <v>100</v>
      </c>
      <c r="M29" s="268">
        <f t="shared" si="10"/>
        <v>-65.22630552204915</v>
      </c>
      <c r="N29" s="267">
        <f t="shared" si="11"/>
        <v>-100</v>
      </c>
      <c r="O29" s="211">
        <v>100</v>
      </c>
      <c r="P29" s="196"/>
      <c r="Q29" s="214"/>
      <c r="R29" s="218"/>
      <c r="S29" s="219"/>
      <c r="T29" s="269" t="str">
        <f t="shared" si="12"/>
        <v> </v>
      </c>
      <c r="U29" s="261">
        <f t="shared" si="13"/>
        <v>-3.0844691601835044E-15</v>
      </c>
      <c r="V29" s="262">
        <f t="shared" si="14"/>
        <v>-128.2</v>
      </c>
      <c r="W29" s="263">
        <f t="shared" si="15"/>
        <v>-100</v>
      </c>
      <c r="X29" s="264">
        <f t="shared" si="0"/>
        <v>100.00000000000001</v>
      </c>
      <c r="Y29" s="250">
        <f t="shared" si="1"/>
        <v>0</v>
      </c>
      <c r="Z29" s="262">
        <f t="shared" si="16"/>
        <v>-65.22630552204915</v>
      </c>
      <c r="AA29" s="263">
        <f t="shared" si="17"/>
        <v>-100</v>
      </c>
      <c r="AB29" s="264">
        <f t="shared" si="18"/>
        <v>100.00000000000001</v>
      </c>
      <c r="AC29" s="250">
        <f t="shared" si="2"/>
        <v>0</v>
      </c>
      <c r="AD29" s="262">
        <f t="shared" si="19"/>
        <v>-62.973694477950836</v>
      </c>
      <c r="AE29" s="263">
        <f t="shared" si="20"/>
        <v>-100</v>
      </c>
      <c r="AF29" s="264">
        <f t="shared" si="21"/>
        <v>100</v>
      </c>
      <c r="AG29" s="250">
        <f t="shared" si="3"/>
        <v>0</v>
      </c>
      <c r="AH29" s="251"/>
    </row>
    <row r="30" spans="2:34" ht="12.75">
      <c r="B30" s="184"/>
      <c r="C30" s="208">
        <f t="shared" si="4"/>
        <v>15</v>
      </c>
      <c r="D30" s="209">
        <v>65</v>
      </c>
      <c r="E30" s="210">
        <v>212</v>
      </c>
      <c r="F30" s="265">
        <f t="shared" si="5"/>
        <v>252.19040425836982</v>
      </c>
      <c r="G30" s="266">
        <f t="shared" si="6"/>
        <v>3.538552036199091</v>
      </c>
      <c r="H30" s="267">
        <f t="shared" si="7"/>
        <v>2.7601809954751104</v>
      </c>
      <c r="I30" s="211">
        <v>97.23981900452489</v>
      </c>
      <c r="J30" s="268">
        <f t="shared" si="8"/>
        <v>3.0612212593448342</v>
      </c>
      <c r="K30" s="267">
        <f t="shared" si="9"/>
        <v>4.861111111111114</v>
      </c>
      <c r="L30" s="211">
        <v>95.13888888888889</v>
      </c>
      <c r="M30" s="268">
        <f t="shared" si="10"/>
        <v>0.31272886209201683</v>
      </c>
      <c r="N30" s="267">
        <f t="shared" si="11"/>
        <v>0.47945205479452113</v>
      </c>
      <c r="O30" s="211">
        <v>99.52054794520548</v>
      </c>
      <c r="P30" s="196"/>
      <c r="Q30" s="214"/>
      <c r="R30" s="218"/>
      <c r="S30" s="219"/>
      <c r="T30" s="269" t="str">
        <f t="shared" si="12"/>
        <v> </v>
      </c>
      <c r="U30" s="261">
        <f t="shared" si="13"/>
        <v>0.054773732365338015</v>
      </c>
      <c r="V30" s="262">
        <f t="shared" si="14"/>
        <v>3.46954464493915</v>
      </c>
      <c r="W30" s="263">
        <f t="shared" si="15"/>
        <v>2.7063530771756246</v>
      </c>
      <c r="X30" s="264">
        <f t="shared" si="0"/>
        <v>97.2936469228244</v>
      </c>
      <c r="Y30" s="250">
        <f t="shared" si="1"/>
        <v>0.05382791829950406</v>
      </c>
      <c r="Z30" s="262">
        <f t="shared" si="16"/>
        <v>0.3359281361299681</v>
      </c>
      <c r="AA30" s="263">
        <f t="shared" si="17"/>
        <v>0.515019413473312</v>
      </c>
      <c r="AB30" s="264">
        <f t="shared" si="18"/>
        <v>99.4849805865267</v>
      </c>
      <c r="AC30" s="250">
        <f t="shared" si="2"/>
        <v>-0.03556735867877592</v>
      </c>
      <c r="AD30" s="262">
        <f t="shared" si="19"/>
        <v>3.133616508809182</v>
      </c>
      <c r="AE30" s="263">
        <f t="shared" si="20"/>
        <v>4.976072207271188</v>
      </c>
      <c r="AF30" s="264">
        <f t="shared" si="21"/>
        <v>95.02392779272881</v>
      </c>
      <c r="AG30" s="250">
        <f t="shared" si="3"/>
        <v>-0.11496109616007288</v>
      </c>
      <c r="AH30" s="251"/>
    </row>
    <row r="31" spans="2:34" ht="12.75">
      <c r="B31" s="184"/>
      <c r="C31" s="208">
        <f t="shared" si="4"/>
        <v>16</v>
      </c>
      <c r="D31" s="209">
        <v>100</v>
      </c>
      <c r="E31" s="210">
        <v>150</v>
      </c>
      <c r="F31" s="265">
        <f t="shared" si="5"/>
        <v>178.3255450012701</v>
      </c>
      <c r="G31" s="266">
        <f t="shared" si="6"/>
        <v>8.092262443438917</v>
      </c>
      <c r="H31" s="267">
        <f t="shared" si="7"/>
        <v>6.312217194570138</v>
      </c>
      <c r="I31" s="211">
        <v>90.92760180995475</v>
      </c>
      <c r="J31" s="268">
        <f t="shared" si="8"/>
        <v>10.12389602197612</v>
      </c>
      <c r="K31" s="267">
        <f t="shared" si="9"/>
        <v>16.076388888888886</v>
      </c>
      <c r="L31" s="211">
        <v>79.0625</v>
      </c>
      <c r="M31" s="268">
        <f t="shared" si="10"/>
        <v>1.1317806437615852</v>
      </c>
      <c r="N31" s="267">
        <f t="shared" si="11"/>
        <v>1.735159817351601</v>
      </c>
      <c r="O31" s="211">
        <v>97.78538812785388</v>
      </c>
      <c r="P31" s="196"/>
      <c r="Q31" s="214"/>
      <c r="R31" s="218"/>
      <c r="S31" s="219"/>
      <c r="T31" s="269">
        <f t="shared" si="12"/>
        <v>0.5779795595302422</v>
      </c>
      <c r="U31" s="261">
        <f t="shared" si="13"/>
        <v>-1.052673076271205</v>
      </c>
      <c r="V31" s="262">
        <f t="shared" si="14"/>
        <v>9.418486158823741</v>
      </c>
      <c r="W31" s="263">
        <f t="shared" si="15"/>
        <v>7.346713072405416</v>
      </c>
      <c r="X31" s="264">
        <f t="shared" si="0"/>
        <v>89.94693385041897</v>
      </c>
      <c r="Y31" s="250">
        <f t="shared" si="1"/>
        <v>-0.9806679595357792</v>
      </c>
      <c r="Z31" s="262">
        <f t="shared" si="16"/>
        <v>0.6859236587765141</v>
      </c>
      <c r="AA31" s="263">
        <f t="shared" si="17"/>
        <v>1.0516058717209482</v>
      </c>
      <c r="AB31" s="264">
        <f t="shared" si="18"/>
        <v>98.43337471480575</v>
      </c>
      <c r="AC31" s="250">
        <f t="shared" si="2"/>
        <v>0.6479865869518733</v>
      </c>
      <c r="AD31" s="262">
        <f t="shared" si="19"/>
        <v>8.732562500047228</v>
      </c>
      <c r="AE31" s="263">
        <f t="shared" si="20"/>
        <v>13.86700045541204</v>
      </c>
      <c r="AF31" s="264">
        <f t="shared" si="21"/>
        <v>81.15692733731677</v>
      </c>
      <c r="AG31" s="250">
        <f t="shared" si="3"/>
        <v>2.094427337316773</v>
      </c>
      <c r="AH31" s="251"/>
    </row>
    <row r="32" spans="2:34" ht="12.75">
      <c r="B32" s="184"/>
      <c r="C32" s="208">
        <f t="shared" si="4"/>
        <v>17</v>
      </c>
      <c r="D32" s="209">
        <v>150</v>
      </c>
      <c r="E32" s="210">
        <v>106</v>
      </c>
      <c r="F32" s="265">
        <f t="shared" si="5"/>
        <v>126.09520212918491</v>
      </c>
      <c r="G32" s="266">
        <f t="shared" si="6"/>
        <v>16.01049773755656</v>
      </c>
      <c r="H32" s="267">
        <f t="shared" si="7"/>
        <v>12.488687782805428</v>
      </c>
      <c r="I32" s="211">
        <v>78.43891402714932</v>
      </c>
      <c r="J32" s="268">
        <f t="shared" si="8"/>
        <v>19.733944189705085</v>
      </c>
      <c r="K32" s="267">
        <f t="shared" si="9"/>
        <v>31.336805555555557</v>
      </c>
      <c r="L32" s="211">
        <v>47.72569444444444</v>
      </c>
      <c r="M32" s="268">
        <f t="shared" si="10"/>
        <v>2.3826960921296525</v>
      </c>
      <c r="N32" s="267">
        <f t="shared" si="11"/>
        <v>3.6529680365296855</v>
      </c>
      <c r="O32" s="211">
        <v>94.13242009132419</v>
      </c>
      <c r="P32" s="196"/>
      <c r="Q32" s="214"/>
      <c r="R32" s="218"/>
      <c r="S32" s="219"/>
      <c r="T32" s="269">
        <f t="shared" si="12"/>
        <v>0.5109690966105078</v>
      </c>
      <c r="U32" s="261">
        <f t="shared" si="13"/>
        <v>-2.031909640832574</v>
      </c>
      <c r="V32" s="262">
        <f t="shared" si="14"/>
        <v>18.570425234454902</v>
      </c>
      <c r="W32" s="263">
        <f t="shared" si="15"/>
        <v>14.485511103318956</v>
      </c>
      <c r="X32" s="264">
        <f t="shared" si="0"/>
        <v>75.46142274710002</v>
      </c>
      <c r="Y32" s="250">
        <f t="shared" si="1"/>
        <v>-2.977491280049307</v>
      </c>
      <c r="Z32" s="262">
        <f t="shared" si="16"/>
        <v>1.522085968583272</v>
      </c>
      <c r="AA32" s="263">
        <f t="shared" si="17"/>
        <v>2.333546191833209</v>
      </c>
      <c r="AB32" s="264">
        <f t="shared" si="18"/>
        <v>96.09982852297254</v>
      </c>
      <c r="AC32" s="250">
        <f t="shared" si="2"/>
        <v>1.9674084316483516</v>
      </c>
      <c r="AD32" s="262">
        <f t="shared" si="19"/>
        <v>17.04833926587163</v>
      </c>
      <c r="AE32" s="263">
        <f t="shared" si="20"/>
        <v>27.072159902958862</v>
      </c>
      <c r="AF32" s="264">
        <f t="shared" si="21"/>
        <v>54.084767434357914</v>
      </c>
      <c r="AG32" s="250">
        <f t="shared" si="3"/>
        <v>6.3590729899134715</v>
      </c>
      <c r="AH32" s="251"/>
    </row>
    <row r="33" spans="2:34" ht="12.75">
      <c r="B33" s="184"/>
      <c r="C33" s="208">
        <f t="shared" si="4"/>
        <v>18</v>
      </c>
      <c r="D33" s="209">
        <v>200</v>
      </c>
      <c r="E33" s="210">
        <v>75</v>
      </c>
      <c r="F33" s="265">
        <f t="shared" si="5"/>
        <v>89.16277250063504</v>
      </c>
      <c r="G33" s="266">
        <f t="shared" si="6"/>
        <v>15.372398190045256</v>
      </c>
      <c r="H33" s="267">
        <f t="shared" si="7"/>
        <v>11.990950226244351</v>
      </c>
      <c r="I33" s="211">
        <v>66.44796380090497</v>
      </c>
      <c r="J33" s="268">
        <f t="shared" si="8"/>
        <v>13.217916080528221</v>
      </c>
      <c r="K33" s="267">
        <f t="shared" si="9"/>
        <v>20.989583333333332</v>
      </c>
      <c r="L33" s="211">
        <v>26.73611111111111</v>
      </c>
      <c r="M33" s="268">
        <f t="shared" si="10"/>
        <v>4.169718161226885</v>
      </c>
      <c r="N33" s="267">
        <f t="shared" si="11"/>
        <v>6.392694063926939</v>
      </c>
      <c r="O33" s="211">
        <v>87.73972602739725</v>
      </c>
      <c r="P33" s="196"/>
      <c r="Q33" s="214"/>
      <c r="R33" s="218"/>
      <c r="S33" s="219"/>
      <c r="T33" s="269">
        <f t="shared" si="12"/>
        <v>0.5361563559577861</v>
      </c>
      <c r="U33" s="261">
        <f t="shared" si="13"/>
        <v>-0.6705997333553352</v>
      </c>
      <c r="V33" s="262">
        <f t="shared" si="14"/>
        <v>16.217261889853095</v>
      </c>
      <c r="W33" s="263">
        <f t="shared" si="15"/>
        <v>12.64997027289633</v>
      </c>
      <c r="X33" s="264">
        <f t="shared" si="0"/>
        <v>62.81145247420368</v>
      </c>
      <c r="Y33" s="250">
        <f t="shared" si="1"/>
        <v>-3.6365113267012887</v>
      </c>
      <c r="Z33" s="262">
        <f t="shared" si="16"/>
        <v>3.8856873619357177</v>
      </c>
      <c r="AA33" s="263">
        <f t="shared" si="17"/>
        <v>5.9572396916182795</v>
      </c>
      <c r="AB33" s="264">
        <f t="shared" si="18"/>
        <v>90.14258883135426</v>
      </c>
      <c r="AC33" s="250">
        <f t="shared" si="2"/>
        <v>2.4028628039570066</v>
      </c>
      <c r="AD33" s="262">
        <f t="shared" si="19"/>
        <v>12.331574527917375</v>
      </c>
      <c r="AE33" s="263">
        <f t="shared" si="20"/>
        <v>19.582104289966765</v>
      </c>
      <c r="AF33" s="264">
        <f t="shared" si="21"/>
        <v>34.50266314439115</v>
      </c>
      <c r="AG33" s="250">
        <f t="shared" si="3"/>
        <v>7.766552033280039</v>
      </c>
      <c r="AH33" s="251"/>
    </row>
    <row r="34" spans="2:34" ht="12.75">
      <c r="B34" s="184"/>
      <c r="C34" s="208">
        <f t="shared" si="4"/>
        <v>19</v>
      </c>
      <c r="D34" s="209">
        <v>270</v>
      </c>
      <c r="E34" s="210">
        <v>53</v>
      </c>
      <c r="F34" s="265">
        <f t="shared" si="5"/>
        <v>63.047601064592456</v>
      </c>
      <c r="G34" s="266">
        <f t="shared" si="6"/>
        <v>10.180588235294122</v>
      </c>
      <c r="H34" s="267">
        <f t="shared" si="7"/>
        <v>7.941176470588239</v>
      </c>
      <c r="I34" s="211">
        <v>58.50678733031673</v>
      </c>
      <c r="J34" s="268">
        <f t="shared" si="8"/>
        <v>5.553929999097052</v>
      </c>
      <c r="K34" s="267">
        <f t="shared" si="9"/>
        <v>8.819444444444443</v>
      </c>
      <c r="L34" s="211">
        <v>17.916666666666668</v>
      </c>
      <c r="M34" s="268">
        <f t="shared" si="10"/>
        <v>5.331282506140093</v>
      </c>
      <c r="N34" s="267">
        <f t="shared" si="11"/>
        <v>8.173515981735164</v>
      </c>
      <c r="O34" s="211">
        <v>79.56621004566209</v>
      </c>
      <c r="P34" s="196"/>
      <c r="Q34" s="214"/>
      <c r="R34" s="218"/>
      <c r="S34" s="219"/>
      <c r="T34" s="269">
        <f t="shared" si="12"/>
        <v>0.5188312419628955</v>
      </c>
      <c r="U34" s="261">
        <f t="shared" si="13"/>
        <v>-0.23447419330285113</v>
      </c>
      <c r="V34" s="262">
        <f t="shared" si="14"/>
        <v>10.475993563703843</v>
      </c>
      <c r="W34" s="263">
        <f t="shared" si="15"/>
        <v>8.17160184376275</v>
      </c>
      <c r="X34" s="264">
        <f t="shared" si="0"/>
        <v>54.63985063044093</v>
      </c>
      <c r="Y34" s="250">
        <f t="shared" si="1"/>
        <v>-3.866936699875801</v>
      </c>
      <c r="Z34" s="262">
        <f t="shared" si="16"/>
        <v>5.2319715621829</v>
      </c>
      <c r="AA34" s="263">
        <f t="shared" si="17"/>
        <v>8.021260012057988</v>
      </c>
      <c r="AB34" s="264">
        <f>AB35+AA35</f>
        <v>82.12132881929627</v>
      </c>
      <c r="AC34" s="250">
        <f t="shared" si="2"/>
        <v>2.5551187736341774</v>
      </c>
      <c r="AD34" s="262">
        <f t="shared" si="19"/>
        <v>5.2440220015209436</v>
      </c>
      <c r="AE34" s="263">
        <f t="shared" si="20"/>
        <v>8.32732150303973</v>
      </c>
      <c r="AF34" s="264">
        <f>AF35+AE35</f>
        <v>26.17534164135142</v>
      </c>
      <c r="AG34" s="250">
        <f t="shared" si="3"/>
        <v>8.258674974684752</v>
      </c>
      <c r="AH34" s="251"/>
    </row>
    <row r="35" spans="2:34" ht="12.75">
      <c r="B35" s="184"/>
      <c r="C35" s="208">
        <f t="shared" si="4"/>
        <v>20</v>
      </c>
      <c r="D35" s="209">
        <v>400</v>
      </c>
      <c r="E35" s="210">
        <v>38</v>
      </c>
      <c r="F35" s="265">
        <f t="shared" si="5"/>
        <v>44.87761134463375</v>
      </c>
      <c r="G35" s="266">
        <f t="shared" si="6"/>
        <v>7.686199095022628</v>
      </c>
      <c r="H35" s="267">
        <f t="shared" si="7"/>
        <v>5.9954751131221755</v>
      </c>
      <c r="I35" s="211">
        <v>52.51131221719456</v>
      </c>
      <c r="J35" s="268">
        <f t="shared" si="8"/>
        <v>2.6348368696503743</v>
      </c>
      <c r="K35" s="267">
        <f t="shared" si="9"/>
        <v>4.184027777777779</v>
      </c>
      <c r="L35" s="211">
        <v>13.73263888888889</v>
      </c>
      <c r="M35" s="268">
        <f t="shared" si="10"/>
        <v>4.512230724470524</v>
      </c>
      <c r="N35" s="267">
        <f t="shared" si="11"/>
        <v>6.9178082191780845</v>
      </c>
      <c r="O35" s="211">
        <v>72.648401826484</v>
      </c>
      <c r="P35" s="196"/>
      <c r="Q35" s="214"/>
      <c r="R35" s="218"/>
      <c r="S35" s="219" t="s">
        <v>110</v>
      </c>
      <c r="T35" s="269">
        <f t="shared" si="12"/>
        <v>0.5192825819183144</v>
      </c>
      <c r="U35" s="261">
        <f t="shared" si="13"/>
        <v>0.1794040159421561</v>
      </c>
      <c r="V35" s="262">
        <f t="shared" si="14"/>
        <v>7.460174637913339</v>
      </c>
      <c r="W35" s="263">
        <f t="shared" si="15"/>
        <v>5.819168984331778</v>
      </c>
      <c r="X35" s="270">
        <f>W36</f>
        <v>48.82068164610915</v>
      </c>
      <c r="Y35" s="271">
        <f t="shared" si="1"/>
        <v>-3.690630571085407</v>
      </c>
      <c r="Z35" s="262">
        <f t="shared" si="16"/>
        <v>4.588216835871342</v>
      </c>
      <c r="AA35" s="263">
        <f t="shared" si="17"/>
        <v>7.034304333426238</v>
      </c>
      <c r="AB35" s="270">
        <f>AA36</f>
        <v>75.08702448587003</v>
      </c>
      <c r="AC35" s="271">
        <f t="shared" si="2"/>
        <v>2.438622659386027</v>
      </c>
      <c r="AD35" s="262">
        <f t="shared" si="19"/>
        <v>2.8719578020419982</v>
      </c>
      <c r="AE35" s="263">
        <f t="shared" si="20"/>
        <v>4.56056743351395</v>
      </c>
      <c r="AF35" s="270">
        <f>AE36</f>
        <v>21.61477420783747</v>
      </c>
      <c r="AG35" s="272">
        <f t="shared" si="3"/>
        <v>7.882135318948581</v>
      </c>
      <c r="AH35" s="251"/>
    </row>
    <row r="36" spans="2:34" ht="12.75">
      <c r="B36" s="184"/>
      <c r="C36" s="208">
        <v>21</v>
      </c>
      <c r="D36" s="212">
        <v>-400</v>
      </c>
      <c r="E36" s="273">
        <v>0</v>
      </c>
      <c r="F36" s="274">
        <f>(E35+E36)/2</f>
        <v>19</v>
      </c>
      <c r="G36" s="275">
        <f t="shared" si="6"/>
        <v>67.31950226244342</v>
      </c>
      <c r="H36" s="276">
        <f t="shared" si="7"/>
        <v>52.51131221719456</v>
      </c>
      <c r="I36" s="243">
        <v>0</v>
      </c>
      <c r="J36" s="277">
        <f t="shared" si="8"/>
        <v>8.647950057649151</v>
      </c>
      <c r="K36" s="276">
        <f t="shared" si="9"/>
        <v>13.73263888888889</v>
      </c>
      <c r="L36" s="243">
        <v>0</v>
      </c>
      <c r="M36" s="277">
        <f t="shared" si="10"/>
        <v>47.385868532228386</v>
      </c>
      <c r="N36" s="276">
        <f t="shared" si="11"/>
        <v>72.648401826484</v>
      </c>
      <c r="O36" s="243">
        <v>0</v>
      </c>
      <c r="P36" s="196"/>
      <c r="Q36" s="214"/>
      <c r="R36" s="218"/>
      <c r="S36" s="219" t="s">
        <v>109</v>
      </c>
      <c r="T36" s="278"/>
      <c r="U36" s="279">
        <f t="shared" si="13"/>
        <v>3.755478895454473</v>
      </c>
      <c r="V36" s="262">
        <f t="shared" si="14"/>
        <v>62.58811387031192</v>
      </c>
      <c r="W36" s="263">
        <f t="shared" si="15"/>
        <v>48.82068164610915</v>
      </c>
      <c r="X36" s="280"/>
      <c r="Y36" s="219"/>
      <c r="Z36" s="262">
        <f t="shared" si="16"/>
        <v>48.97649199856944</v>
      </c>
      <c r="AA36" s="263">
        <f t="shared" si="17"/>
        <v>75.08702448587003</v>
      </c>
      <c r="AB36" s="280"/>
      <c r="AC36" s="219"/>
      <c r="AD36" s="262">
        <f t="shared" si="19"/>
        <v>13.611621871742487</v>
      </c>
      <c r="AE36" s="263">
        <f t="shared" si="20"/>
        <v>21.61477420783747</v>
      </c>
      <c r="AF36" s="280"/>
      <c r="AG36" s="219"/>
      <c r="AH36" s="220"/>
    </row>
    <row r="37" spans="2:34" ht="12.75">
      <c r="B37" s="184"/>
      <c r="C37" s="188" t="s">
        <v>95</v>
      </c>
      <c r="D37" s="188"/>
      <c r="E37" s="188"/>
      <c r="F37" s="188"/>
      <c r="G37" s="281">
        <f>SUM(G17:G36)</f>
        <v>128.2</v>
      </c>
      <c r="H37" s="282">
        <f>SUM(H17:H36)</f>
        <v>100</v>
      </c>
      <c r="I37" s="283"/>
      <c r="J37" s="284">
        <f>SUM(J17:J36)</f>
        <v>62.97369447795083</v>
      </c>
      <c r="K37" s="282">
        <f>SUM(K17:K36)</f>
        <v>100</v>
      </c>
      <c r="L37" s="283"/>
      <c r="M37" s="284">
        <f>SUM(M17:M36)</f>
        <v>65.22630552204915</v>
      </c>
      <c r="N37" s="282">
        <f>SUM(N17:N36)</f>
        <v>100</v>
      </c>
      <c r="O37" s="283"/>
      <c r="P37" s="285"/>
      <c r="Q37" s="214"/>
      <c r="R37" s="218"/>
      <c r="S37" s="189">
        <f>Control_Panel!E13</f>
        <v>1</v>
      </c>
      <c r="T37" s="286">
        <f>AVERAGE(T17:T35)</f>
        <v>0.5326437671959492</v>
      </c>
      <c r="U37" s="219"/>
      <c r="V37" s="287">
        <f>SUM(V17:V36)</f>
        <v>128.2</v>
      </c>
      <c r="W37" s="288">
        <f>SUM(W17:W36)</f>
        <v>100</v>
      </c>
      <c r="X37" s="289"/>
      <c r="Y37" s="290"/>
      <c r="Z37" s="287">
        <f>SUM(Z17:Z36)</f>
        <v>65.22630552204916</v>
      </c>
      <c r="AA37" s="288">
        <f>SUM(AA17:AA36)</f>
        <v>100</v>
      </c>
      <c r="AB37" s="289"/>
      <c r="AC37" s="290"/>
      <c r="AD37" s="287">
        <f>SUM(AD17:AD36)</f>
        <v>62.97369447795084</v>
      </c>
      <c r="AE37" s="288">
        <f>SUM(AE17:AE36)</f>
        <v>100</v>
      </c>
      <c r="AF37" s="289"/>
      <c r="AG37" s="290"/>
      <c r="AH37" s="220"/>
    </row>
    <row r="38" spans="2:34" ht="12.75">
      <c r="B38" s="184"/>
      <c r="C38" s="186"/>
      <c r="D38" s="186"/>
      <c r="E38" s="186"/>
      <c r="F38" s="186"/>
      <c r="G38" s="186"/>
      <c r="H38" s="186"/>
      <c r="I38" s="231"/>
      <c r="J38" s="186"/>
      <c r="K38" s="186"/>
      <c r="L38" s="231"/>
      <c r="M38" s="186"/>
      <c r="N38" s="186"/>
      <c r="O38" s="231"/>
      <c r="P38" s="187"/>
      <c r="Q38" s="214"/>
      <c r="R38" s="218"/>
      <c r="S38" s="219"/>
      <c r="T38" s="219"/>
      <c r="U38" s="291"/>
      <c r="V38" s="219"/>
      <c r="W38" s="219"/>
      <c r="X38" s="292"/>
      <c r="Y38" s="219"/>
      <c r="Z38" s="219"/>
      <c r="AA38" s="219"/>
      <c r="AB38" s="292"/>
      <c r="AC38" s="219"/>
      <c r="AD38" s="219"/>
      <c r="AE38" s="219"/>
      <c r="AF38" s="219"/>
      <c r="AG38" s="219"/>
      <c r="AH38" s="220"/>
    </row>
    <row r="39" spans="2:34" ht="12.75">
      <c r="B39" s="184"/>
      <c r="C39" s="188" t="s">
        <v>76</v>
      </c>
      <c r="D39" s="186"/>
      <c r="E39" s="186"/>
      <c r="F39" s="186"/>
      <c r="G39" s="186"/>
      <c r="H39" s="186"/>
      <c r="I39" s="211">
        <v>30.3</v>
      </c>
      <c r="J39" s="186"/>
      <c r="K39" s="186"/>
      <c r="L39" s="211">
        <v>65.5</v>
      </c>
      <c r="M39" s="186"/>
      <c r="N39" s="186"/>
      <c r="O39" s="211">
        <v>17.3</v>
      </c>
      <c r="P39" s="196"/>
      <c r="Q39" s="214"/>
      <c r="R39" s="218"/>
      <c r="S39" s="189">
        <f>Control_Panel!E14</f>
        <v>1</v>
      </c>
      <c r="T39" s="200">
        <f>IF(I39*L39&gt;0,(1/O39-1/I39)/(1/I39-1/L39)," ")</f>
        <v>1.3982856016815557</v>
      </c>
      <c r="U39" s="293">
        <f>((1+$T$40)*(1/I39)-$T$40*(1/L39)-(1/O39))/((1+$T$40)^2/2/$I$40+$T$40^2/2/$L$40+1/2/$O$40)</f>
        <v>-0.00166620030231799</v>
      </c>
      <c r="V39" s="219"/>
      <c r="W39" s="219"/>
      <c r="X39" s="294">
        <f>1/(1/I39-U39*(1+$T$40)/2/$I$40)</f>
        <v>28.867752541162147</v>
      </c>
      <c r="Y39" s="295">
        <f>X39-I39</f>
        <v>-1.4322474588378533</v>
      </c>
      <c r="Z39" s="219"/>
      <c r="AA39" s="219"/>
      <c r="AB39" s="294">
        <f>1/(1/O39+U39/2/$O$40)</f>
        <v>17.629993002799033</v>
      </c>
      <c r="AC39" s="295">
        <f>AB39-O39</f>
        <v>0.3299930027990321</v>
      </c>
      <c r="AD39" s="219"/>
      <c r="AE39" s="219"/>
      <c r="AF39" s="294">
        <f>1/(1/L39+U39*$T$40/2/$L$40)</f>
        <v>84.96108907476494</v>
      </c>
      <c r="AG39" s="295">
        <f>AF39-L39</f>
        <v>19.461089074764942</v>
      </c>
      <c r="AH39" s="220"/>
    </row>
    <row r="40" spans="2:34" ht="12.75">
      <c r="B40" s="184"/>
      <c r="C40" s="188" t="s">
        <v>97</v>
      </c>
      <c r="D40" s="186"/>
      <c r="E40" s="186"/>
      <c r="F40" s="186"/>
      <c r="G40" s="192"/>
      <c r="H40" s="192"/>
      <c r="I40" s="296">
        <f>Control_Panel!E9</f>
        <v>1</v>
      </c>
      <c r="J40" s="192"/>
      <c r="K40" s="192"/>
      <c r="L40" s="296">
        <f>Control_Panel!E10</f>
        <v>0.23</v>
      </c>
      <c r="M40" s="192"/>
      <c r="N40" s="192"/>
      <c r="O40" s="296">
        <f>Control_Panel!E11</f>
        <v>0.77</v>
      </c>
      <c r="P40" s="193"/>
      <c r="Q40" s="214"/>
      <c r="R40" s="218"/>
      <c r="S40" s="297" t="s">
        <v>78</v>
      </c>
      <c r="T40" s="286">
        <f>(T37*S37+T39*S39)/(S37+S39)</f>
        <v>0.9654646844387524</v>
      </c>
      <c r="U40" s="219"/>
      <c r="V40" s="219"/>
      <c r="W40" s="219"/>
      <c r="X40" s="219"/>
      <c r="Y40" s="219"/>
      <c r="Z40" s="219"/>
      <c r="AA40" s="219"/>
      <c r="AB40" s="219"/>
      <c r="AC40" s="219"/>
      <c r="AD40" s="219"/>
      <c r="AE40" s="219"/>
      <c r="AF40" s="219"/>
      <c r="AG40" s="219"/>
      <c r="AH40" s="220"/>
    </row>
    <row r="41" spans="2:34" ht="13.5" thickBot="1">
      <c r="B41" s="203"/>
      <c r="C41" s="204"/>
      <c r="D41" s="204"/>
      <c r="E41" s="204"/>
      <c r="F41" s="204"/>
      <c r="G41" s="204"/>
      <c r="H41" s="204"/>
      <c r="I41" s="204"/>
      <c r="J41" s="204"/>
      <c r="K41" s="204"/>
      <c r="L41" s="204"/>
      <c r="M41" s="204"/>
      <c r="N41" s="204"/>
      <c r="O41" s="204"/>
      <c r="P41" s="205"/>
      <c r="Q41" s="214"/>
      <c r="R41" s="298"/>
      <c r="S41" s="299"/>
      <c r="T41" s="299"/>
      <c r="U41" s="299"/>
      <c r="V41" s="299"/>
      <c r="W41" s="299"/>
      <c r="X41" s="299"/>
      <c r="Y41" s="299"/>
      <c r="Z41" s="299"/>
      <c r="AA41" s="299"/>
      <c r="AB41" s="299"/>
      <c r="AC41" s="299"/>
      <c r="AD41" s="299"/>
      <c r="AE41" s="299"/>
      <c r="AF41" s="299"/>
      <c r="AG41" s="299"/>
      <c r="AH41" s="300"/>
    </row>
    <row r="42" spans="3:5" ht="13.5" thickTop="1">
      <c r="C42" s="213"/>
      <c r="D42" s="213"/>
      <c r="E42" s="213"/>
    </row>
  </sheetData>
  <mergeCells count="11">
    <mergeCell ref="G14:I14"/>
    <mergeCell ref="AD14:AF14"/>
    <mergeCell ref="V14:X14"/>
    <mergeCell ref="Z14:AB14"/>
    <mergeCell ref="J14:L14"/>
    <mergeCell ref="M14:O14"/>
    <mergeCell ref="D3:N3"/>
    <mergeCell ref="G13:O13"/>
    <mergeCell ref="T12:AG12"/>
    <mergeCell ref="D5:I5"/>
    <mergeCell ref="D6:I6"/>
  </mergeCells>
  <printOptions gridLines="1" horizontalCentered="1" verticalCentered="1"/>
  <pageMargins left="0.25" right="0.25" top="1" bottom="1.5" header="0" footer="0.5"/>
  <pageSetup horizontalDpi="300" verticalDpi="300" orientation="landscape" scale="80" r:id="rId4"/>
  <headerFooter alignWithMargins="0">
    <oddFooter>&amp;L&amp;"Arial,Bold"&amp;8Moly-Cop Tools&amp;"Arial,Regular" / &amp;F&amp;R&amp;8&amp;D   /   &amp;T</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2"/>
  <dimension ref="A1:S99"/>
  <sheetViews>
    <sheetView tabSelected="1" workbookViewId="0" topLeftCell="A1">
      <selection activeCell="J46" sqref="J46"/>
    </sheetView>
  </sheetViews>
  <sheetFormatPr defaultColWidth="9.140625" defaultRowHeight="12.75"/>
  <cols>
    <col min="1" max="1" width="3.7109375" style="0" customWidth="1"/>
    <col min="2" max="2" width="9.28125" style="0" bestFit="1" customWidth="1"/>
    <col min="3" max="3" width="10.28125" style="0" customWidth="1"/>
    <col min="8" max="8" width="9.28125" style="0" bestFit="1" customWidth="1"/>
  </cols>
  <sheetData>
    <row r="1" spans="2:10" ht="24.75" customHeight="1">
      <c r="B1" s="127" t="s">
        <v>111</v>
      </c>
      <c r="E1" s="5"/>
      <c r="F1" s="2"/>
      <c r="J1" s="128"/>
    </row>
    <row r="3" spans="5:10" ht="15.75">
      <c r="E3" s="254" t="s">
        <v>120</v>
      </c>
      <c r="F3" s="254"/>
      <c r="G3" s="254"/>
      <c r="I3" s="20" t="s">
        <v>75</v>
      </c>
      <c r="J3" s="104">
        <f>Data_File!N5</f>
        <v>2</v>
      </c>
    </row>
    <row r="4" spans="5:7" ht="12.75">
      <c r="E4" s="177" t="s">
        <v>121</v>
      </c>
      <c r="F4" s="177"/>
      <c r="G4" s="177"/>
    </row>
    <row r="6" spans="2:10" ht="12.75">
      <c r="B6" t="s">
        <v>66</v>
      </c>
      <c r="C6" s="60" t="str">
        <f>Data_File!D5</f>
        <v> Base Case Example</v>
      </c>
      <c r="D6" s="61"/>
      <c r="E6" s="61"/>
      <c r="F6" s="61"/>
      <c r="G6" s="61"/>
      <c r="H6" s="61"/>
      <c r="I6" s="61"/>
      <c r="J6" s="62"/>
    </row>
    <row r="7" spans="3:10" ht="12.75">
      <c r="C7" s="63" t="str">
        <f>Data_File!D6</f>
        <v> </v>
      </c>
      <c r="D7" s="64"/>
      <c r="E7" s="64"/>
      <c r="F7" s="64"/>
      <c r="G7" s="64"/>
      <c r="H7" s="64"/>
      <c r="I7" s="64"/>
      <c r="J7" s="65"/>
    </row>
    <row r="9" spans="2:7" ht="12.75">
      <c r="B9" t="s">
        <v>51</v>
      </c>
      <c r="D9">
        <f>Data_File!C11</f>
        <v>4</v>
      </c>
      <c r="G9" t="s">
        <v>53</v>
      </c>
    </row>
    <row r="10" spans="2:10" ht="12.75">
      <c r="B10" t="s">
        <v>55</v>
      </c>
      <c r="G10" s="2"/>
      <c r="H10" s="7" t="s">
        <v>56</v>
      </c>
      <c r="J10" s="4">
        <f>E47</f>
        <v>358.20438008164547</v>
      </c>
    </row>
    <row r="11" spans="3:10" ht="12.75">
      <c r="C11" s="7" t="s">
        <v>40</v>
      </c>
      <c r="D11" s="5">
        <f>Data_File!D11</f>
        <v>15</v>
      </c>
      <c r="E11" s="2"/>
      <c r="H11" s="7" t="s">
        <v>57</v>
      </c>
      <c r="J11" s="4">
        <f>C!E11</f>
        <v>26</v>
      </c>
    </row>
    <row r="12" spans="3:10" ht="12.75">
      <c r="C12" s="7" t="s">
        <v>52</v>
      </c>
      <c r="D12" s="5">
        <f>Data_File!E11</f>
        <v>45</v>
      </c>
      <c r="H12" s="7" t="s">
        <v>54</v>
      </c>
      <c r="J12" s="4">
        <f>C!E12</f>
        <v>74</v>
      </c>
    </row>
    <row r="13" spans="3:10" ht="12.75">
      <c r="C13" s="7" t="s">
        <v>48</v>
      </c>
      <c r="D13" s="5">
        <f>Data_File!F11</f>
        <v>4</v>
      </c>
      <c r="H13" s="7" t="s">
        <v>58</v>
      </c>
      <c r="J13" s="4">
        <f>C!E13*100</f>
        <v>23.340237097213723</v>
      </c>
    </row>
    <row r="14" spans="3:10" ht="12.75">
      <c r="C14" s="7" t="s">
        <v>49</v>
      </c>
      <c r="D14" s="5">
        <f>Data_File!G11</f>
        <v>7.5</v>
      </c>
      <c r="H14" s="7" t="s">
        <v>59</v>
      </c>
      <c r="J14" s="4">
        <f>C!E14*100</f>
        <v>35</v>
      </c>
    </row>
    <row r="15" spans="3:10" ht="12.75">
      <c r="C15" s="7" t="s">
        <v>50</v>
      </c>
      <c r="D15" s="5">
        <f>Data_File!H11</f>
        <v>3.5</v>
      </c>
      <c r="H15" s="7" t="s">
        <v>38</v>
      </c>
      <c r="J15" s="5">
        <f>C!E16</f>
        <v>1.45</v>
      </c>
    </row>
    <row r="16" spans="2:10" ht="12.75">
      <c r="B16" s="7" t="s">
        <v>46</v>
      </c>
      <c r="D16" s="5">
        <f>Data_File!N8</f>
        <v>3.03</v>
      </c>
      <c r="H16" t="s">
        <v>60</v>
      </c>
      <c r="J16" s="6">
        <f>C!E8*100</f>
        <v>147.34089865917002</v>
      </c>
    </row>
    <row r="17" spans="5:10" ht="12.75">
      <c r="E17" s="8"/>
      <c r="F17" s="8"/>
      <c r="G17" s="8"/>
      <c r="I17" s="8"/>
      <c r="J17" s="8"/>
    </row>
    <row r="18" spans="1:10" ht="15" customHeight="1">
      <c r="A18" s="16"/>
      <c r="B18" s="16"/>
      <c r="C18" s="16"/>
      <c r="D18" s="16"/>
      <c r="E18" s="178" t="s">
        <v>63</v>
      </c>
      <c r="F18" s="178"/>
      <c r="G18" s="178"/>
      <c r="H18" s="16"/>
      <c r="I18" s="175" t="s">
        <v>62</v>
      </c>
      <c r="J18" s="175"/>
    </row>
    <row r="19" spans="1:10" ht="15" customHeight="1">
      <c r="A19" s="2" t="s">
        <v>2</v>
      </c>
      <c r="B19" s="17" t="s">
        <v>0</v>
      </c>
      <c r="C19" s="17" t="s">
        <v>1</v>
      </c>
      <c r="D19" s="17" t="s">
        <v>3</v>
      </c>
      <c r="E19" s="19" t="s">
        <v>4</v>
      </c>
      <c r="F19" s="19" t="s">
        <v>6</v>
      </c>
      <c r="G19" s="19" t="s">
        <v>7</v>
      </c>
      <c r="H19" s="16"/>
      <c r="I19" s="19" t="s">
        <v>45</v>
      </c>
      <c r="J19" s="19" t="s">
        <v>61</v>
      </c>
    </row>
    <row r="20" spans="1:10" ht="12.75">
      <c r="A20" s="3"/>
      <c r="B20" s="3"/>
      <c r="C20" s="3"/>
      <c r="D20" s="3"/>
      <c r="E20" s="3"/>
      <c r="F20" s="3"/>
      <c r="G20" s="3"/>
      <c r="I20" s="3"/>
      <c r="J20" s="3"/>
    </row>
    <row r="21" spans="1:19" ht="12.75">
      <c r="A21" s="11">
        <v>1</v>
      </c>
      <c r="B21">
        <f>Data_File!D16</f>
        <v>0</v>
      </c>
      <c r="C21" s="142">
        <f>Data_File!E16</f>
        <v>0</v>
      </c>
      <c r="D21" s="142">
        <f>Data_File!F17</f>
        <v>0</v>
      </c>
      <c r="E21" s="5">
        <f>C!P21</f>
        <v>100</v>
      </c>
      <c r="F21" s="5">
        <f>C!Q21</f>
        <v>100</v>
      </c>
      <c r="G21" s="5">
        <f>C!R21</f>
        <v>99.99999999999997</v>
      </c>
      <c r="I21" s="1">
        <f>C!E22</f>
        <v>0.35</v>
      </c>
      <c r="J21" s="1">
        <f aca="true" t="shared" si="0" ref="J21:J40">1-EXP(-0.693*(D21/$J$12)^$J$15)</f>
        <v>0</v>
      </c>
      <c r="Q21" t="e">
        <f aca="true" t="shared" si="1" ref="Q21:Q39">IF(E21&gt;80,IF(E22&lt;80,$C22*EXP(LN(80/E22)*LN($C21/$C22)/LN(E21/E22)),0),0)</f>
        <v>#DIV/0!</v>
      </c>
      <c r="R21" t="e">
        <f aca="true" t="shared" si="2" ref="R21:R39">IF(F21&gt;80,IF(F22&lt;80,$C22*EXP(LN(80/F22)*LN($C21/$C22)/LN(F21/F22)),0),0)</f>
        <v>#DIV/0!</v>
      </c>
      <c r="S21" t="e">
        <f aca="true" t="shared" si="3" ref="S21:S39">IF(G21&gt;80,IF(G22&lt;80,$C22*EXP(LN(80/G22)*LN($C21/$C22)/LN(G21/G22)),0),0)</f>
        <v>#NUM!</v>
      </c>
    </row>
    <row r="22" spans="1:19" ht="12.75">
      <c r="A22" s="11">
        <v>2</v>
      </c>
      <c r="B22">
        <f>Data_File!D17</f>
        <v>0</v>
      </c>
      <c r="C22" s="142">
        <f>Data_File!E17</f>
        <v>0</v>
      </c>
      <c r="D22" s="142">
        <f>Data_File!F18</f>
        <v>0</v>
      </c>
      <c r="E22" s="5">
        <f>C!P22</f>
        <v>0</v>
      </c>
      <c r="F22" s="5">
        <f>C!Q22</f>
        <v>41.24556364288083</v>
      </c>
      <c r="G22" s="5">
        <f>C!R22</f>
        <v>-60.771584128460546</v>
      </c>
      <c r="I22" s="1">
        <f>C!E23</f>
        <v>0.35</v>
      </c>
      <c r="J22" s="1">
        <f t="shared" si="0"/>
        <v>0</v>
      </c>
      <c r="Q22">
        <f t="shared" si="1"/>
        <v>0</v>
      </c>
      <c r="R22">
        <f t="shared" si="2"/>
        <v>0</v>
      </c>
      <c r="S22">
        <f t="shared" si="3"/>
        <v>0</v>
      </c>
    </row>
    <row r="23" spans="1:19" ht="12.75">
      <c r="A23" s="11">
        <v>3</v>
      </c>
      <c r="B23">
        <f>Data_File!D18</f>
        <v>0</v>
      </c>
      <c r="C23" s="142">
        <f>Data_File!E18</f>
        <v>0</v>
      </c>
      <c r="D23" s="142">
        <f>Data_File!F19</f>
        <v>0</v>
      </c>
      <c r="E23" s="5">
        <f>C!P23</f>
        <v>0</v>
      </c>
      <c r="F23" s="5">
        <f>C!Q23</f>
        <v>41.24556364288083</v>
      </c>
      <c r="G23" s="5">
        <f>C!R23</f>
        <v>-60.771584128460546</v>
      </c>
      <c r="I23" s="1">
        <f>C!E24</f>
        <v>0.35</v>
      </c>
      <c r="J23" s="1">
        <f t="shared" si="0"/>
        <v>0</v>
      </c>
      <c r="Q23">
        <f t="shared" si="1"/>
        <v>0</v>
      </c>
      <c r="R23">
        <f t="shared" si="2"/>
        <v>0</v>
      </c>
      <c r="S23">
        <f t="shared" si="3"/>
        <v>0</v>
      </c>
    </row>
    <row r="24" spans="1:19" ht="12.75">
      <c r="A24" s="11">
        <v>4</v>
      </c>
      <c r="B24">
        <f>Data_File!D19</f>
        <v>0</v>
      </c>
      <c r="C24" s="142">
        <f>Data_File!E19</f>
        <v>0</v>
      </c>
      <c r="D24" s="142">
        <f>Data_File!F20</f>
        <v>0</v>
      </c>
      <c r="E24" s="5">
        <f>C!P24</f>
        <v>0</v>
      </c>
      <c r="F24" s="5">
        <f>C!Q24</f>
        <v>41.24556364288083</v>
      </c>
      <c r="G24" s="5">
        <f>C!R24</f>
        <v>-60.771584128460546</v>
      </c>
      <c r="I24" s="1">
        <f>C!E25</f>
        <v>0.35</v>
      </c>
      <c r="J24" s="1">
        <f t="shared" si="0"/>
        <v>0</v>
      </c>
      <c r="Q24">
        <f t="shared" si="1"/>
        <v>0</v>
      </c>
      <c r="R24">
        <f t="shared" si="2"/>
        <v>0</v>
      </c>
      <c r="S24">
        <f t="shared" si="3"/>
        <v>0</v>
      </c>
    </row>
    <row r="25" spans="1:19" ht="12.75">
      <c r="A25" s="11">
        <v>5</v>
      </c>
      <c r="B25">
        <f>Data_File!D20</f>
        <v>0</v>
      </c>
      <c r="C25" s="142">
        <f>Data_File!E20</f>
        <v>0</v>
      </c>
      <c r="D25" s="142">
        <f>Data_File!F21</f>
        <v>0</v>
      </c>
      <c r="E25" s="5">
        <f>C!P25</f>
        <v>0</v>
      </c>
      <c r="F25" s="5">
        <f>C!Q25</f>
        <v>41.24556364288083</v>
      </c>
      <c r="G25" s="5">
        <f>C!R25</f>
        <v>-60.771584128460546</v>
      </c>
      <c r="I25" s="1">
        <f>C!E26</f>
        <v>0.35</v>
      </c>
      <c r="J25" s="1">
        <f t="shared" si="0"/>
        <v>0</v>
      </c>
      <c r="Q25">
        <f t="shared" si="1"/>
        <v>0</v>
      </c>
      <c r="R25">
        <f t="shared" si="2"/>
        <v>0</v>
      </c>
      <c r="S25">
        <f t="shared" si="3"/>
        <v>0</v>
      </c>
    </row>
    <row r="26" spans="1:19" ht="12.75">
      <c r="A26" s="11">
        <v>6</v>
      </c>
      <c r="B26">
        <f>Data_File!D21</f>
        <v>0</v>
      </c>
      <c r="C26" s="142">
        <f>Data_File!E21</f>
        <v>0</v>
      </c>
      <c r="D26" s="142">
        <f>Data_File!F22</f>
        <v>0</v>
      </c>
      <c r="E26" s="5">
        <f>C!P26</f>
        <v>0</v>
      </c>
      <c r="F26" s="5">
        <f>C!Q26</f>
        <v>41.24556364288083</v>
      </c>
      <c r="G26" s="5">
        <f>C!R26</f>
        <v>-60.771584128460546</v>
      </c>
      <c r="I26" s="1">
        <f>C!E27</f>
        <v>0.35</v>
      </c>
      <c r="J26" s="1">
        <f t="shared" si="0"/>
        <v>0</v>
      </c>
      <c r="Q26">
        <f t="shared" si="1"/>
        <v>0</v>
      </c>
      <c r="R26">
        <f t="shared" si="2"/>
        <v>0</v>
      </c>
      <c r="S26">
        <f t="shared" si="3"/>
        <v>0</v>
      </c>
    </row>
    <row r="27" spans="1:19" ht="12.75">
      <c r="A27" s="11">
        <v>7</v>
      </c>
      <c r="B27">
        <f>Data_File!D22</f>
        <v>0</v>
      </c>
      <c r="C27" s="142">
        <f>Data_File!E22</f>
        <v>0</v>
      </c>
      <c r="D27" s="142">
        <f>Data_File!F23</f>
        <v>0</v>
      </c>
      <c r="E27" s="5">
        <f>C!P27</f>
        <v>0</v>
      </c>
      <c r="F27" s="5">
        <f>C!Q27</f>
        <v>41.24556364288083</v>
      </c>
      <c r="G27" s="5">
        <f>C!R27</f>
        <v>-60.771584128460546</v>
      </c>
      <c r="I27" s="1">
        <f>C!E28</f>
        <v>0.35</v>
      </c>
      <c r="J27" s="1">
        <f t="shared" si="0"/>
        <v>0</v>
      </c>
      <c r="Q27">
        <f t="shared" si="1"/>
        <v>0</v>
      </c>
      <c r="R27">
        <f t="shared" si="2"/>
        <v>0</v>
      </c>
      <c r="S27">
        <f t="shared" si="3"/>
        <v>0</v>
      </c>
    </row>
    <row r="28" spans="1:19" ht="12.75">
      <c r="A28" s="11">
        <v>8</v>
      </c>
      <c r="B28">
        <f>Data_File!D23</f>
        <v>0</v>
      </c>
      <c r="C28" s="142">
        <f>Data_File!E23</f>
        <v>0</v>
      </c>
      <c r="D28" s="142">
        <f>Data_File!F24</f>
        <v>0</v>
      </c>
      <c r="E28" s="5">
        <f>C!P28</f>
        <v>0</v>
      </c>
      <c r="F28" s="5">
        <f>C!Q28</f>
        <v>41.24556364288083</v>
      </c>
      <c r="G28" s="5">
        <f>C!R28</f>
        <v>-60.771584128460546</v>
      </c>
      <c r="I28" s="1">
        <f>C!E29</f>
        <v>0.35</v>
      </c>
      <c r="J28" s="1">
        <f t="shared" si="0"/>
        <v>0</v>
      </c>
      <c r="Q28">
        <f t="shared" si="1"/>
        <v>0</v>
      </c>
      <c r="R28">
        <f t="shared" si="2"/>
        <v>0</v>
      </c>
      <c r="S28">
        <f t="shared" si="3"/>
        <v>0</v>
      </c>
    </row>
    <row r="29" spans="1:19" ht="12.75">
      <c r="A29" s="11">
        <v>9</v>
      </c>
      <c r="B29">
        <f>Data_File!D24</f>
        <v>0</v>
      </c>
      <c r="C29" s="142">
        <f>Data_File!E24</f>
        <v>0</v>
      </c>
      <c r="D29" s="142">
        <f>Data_File!F25</f>
        <v>0</v>
      </c>
      <c r="E29" s="5">
        <f>C!P29</f>
        <v>0</v>
      </c>
      <c r="F29" s="5">
        <f>C!Q29</f>
        <v>41.24556364288083</v>
      </c>
      <c r="G29" s="5">
        <f>C!R29</f>
        <v>-60.771584128460546</v>
      </c>
      <c r="I29" s="1">
        <f>C!E30</f>
        <v>0.35</v>
      </c>
      <c r="J29" s="1">
        <f t="shared" si="0"/>
        <v>0</v>
      </c>
      <c r="Q29">
        <f t="shared" si="1"/>
        <v>0</v>
      </c>
      <c r="R29">
        <f t="shared" si="2"/>
        <v>0</v>
      </c>
      <c r="S29">
        <f t="shared" si="3"/>
        <v>0</v>
      </c>
    </row>
    <row r="30" spans="1:19" ht="12.75">
      <c r="A30" s="11">
        <v>10</v>
      </c>
      <c r="B30">
        <f>Data_File!D25</f>
        <v>0</v>
      </c>
      <c r="C30" s="142">
        <f>Data_File!E25</f>
        <v>0</v>
      </c>
      <c r="D30" s="142">
        <f>Data_File!F26</f>
        <v>0</v>
      </c>
      <c r="E30" s="5">
        <f>C!P30</f>
        <v>0</v>
      </c>
      <c r="F30" s="5">
        <f>C!Q30</f>
        <v>41.24556364288083</v>
      </c>
      <c r="G30" s="5">
        <f>C!R30</f>
        <v>-60.771584128460546</v>
      </c>
      <c r="I30" s="1">
        <f>C!E31</f>
        <v>0.35</v>
      </c>
      <c r="J30" s="1">
        <f t="shared" si="0"/>
        <v>0</v>
      </c>
      <c r="Q30">
        <f t="shared" si="1"/>
        <v>0</v>
      </c>
      <c r="R30">
        <f t="shared" si="2"/>
        <v>0</v>
      </c>
      <c r="S30">
        <f t="shared" si="3"/>
        <v>0</v>
      </c>
    </row>
    <row r="31" spans="1:19" ht="12.75">
      <c r="A31" s="11">
        <v>11</v>
      </c>
      <c r="B31">
        <f>Data_File!D26</f>
        <v>0</v>
      </c>
      <c r="C31" s="142">
        <f>Data_File!E26</f>
        <v>0</v>
      </c>
      <c r="D31" s="142">
        <f>Data_File!F27</f>
        <v>0</v>
      </c>
      <c r="E31" s="5">
        <f>C!P31</f>
        <v>0</v>
      </c>
      <c r="F31" s="5">
        <f>C!Q31</f>
        <v>41.24556364288083</v>
      </c>
      <c r="G31" s="5">
        <f>C!R31</f>
        <v>-60.771584128460546</v>
      </c>
      <c r="I31" s="1">
        <f>C!E32</f>
        <v>0.35</v>
      </c>
      <c r="J31" s="1">
        <f t="shared" si="0"/>
        <v>0</v>
      </c>
      <c r="Q31">
        <f t="shared" si="1"/>
        <v>0</v>
      </c>
      <c r="R31">
        <f t="shared" si="2"/>
        <v>0</v>
      </c>
      <c r="S31">
        <f t="shared" si="3"/>
        <v>0</v>
      </c>
    </row>
    <row r="32" spans="1:19" ht="12.75">
      <c r="A32" s="11">
        <v>12</v>
      </c>
      <c r="B32">
        <f>Data_File!D27</f>
        <v>0</v>
      </c>
      <c r="C32" s="142">
        <f>Data_File!E27</f>
        <v>0</v>
      </c>
      <c r="D32" s="142">
        <f>Data_File!F28</f>
        <v>0</v>
      </c>
      <c r="E32" s="5">
        <f>C!P32</f>
        <v>0</v>
      </c>
      <c r="F32" s="5">
        <f>C!Q32</f>
        <v>41.24556364288083</v>
      </c>
      <c r="G32" s="5">
        <f>C!R32</f>
        <v>-60.771584128460546</v>
      </c>
      <c r="I32" s="1">
        <f>C!E33</f>
        <v>0.35</v>
      </c>
      <c r="J32" s="1">
        <f t="shared" si="0"/>
        <v>0</v>
      </c>
      <c r="Q32">
        <f t="shared" si="1"/>
        <v>0</v>
      </c>
      <c r="R32">
        <f t="shared" si="2"/>
        <v>0</v>
      </c>
      <c r="S32">
        <f t="shared" si="3"/>
        <v>0</v>
      </c>
    </row>
    <row r="33" spans="1:19" ht="12.75">
      <c r="A33" s="11">
        <v>13</v>
      </c>
      <c r="B33">
        <f>Data_File!D28</f>
        <v>0</v>
      </c>
      <c r="C33" s="142">
        <f>Data_File!E28</f>
        <v>0</v>
      </c>
      <c r="D33" s="142">
        <f>Data_File!F29</f>
        <v>0</v>
      </c>
      <c r="E33" s="5">
        <f>C!P33</f>
        <v>0</v>
      </c>
      <c r="F33" s="5">
        <f>C!Q33</f>
        <v>41.24556364288083</v>
      </c>
      <c r="G33" s="5">
        <f>C!R33</f>
        <v>-60.771584128460546</v>
      </c>
      <c r="I33" s="1">
        <f>C!E34</f>
        <v>0.35</v>
      </c>
      <c r="J33" s="1">
        <f t="shared" si="0"/>
        <v>0</v>
      </c>
      <c r="Q33">
        <f t="shared" si="1"/>
        <v>0</v>
      </c>
      <c r="R33">
        <f t="shared" si="2"/>
        <v>0</v>
      </c>
      <c r="S33">
        <f t="shared" si="3"/>
        <v>0</v>
      </c>
    </row>
    <row r="34" spans="1:19" ht="12.75">
      <c r="A34" s="11">
        <v>14</v>
      </c>
      <c r="B34">
        <f>Data_File!D29</f>
        <v>48</v>
      </c>
      <c r="C34" s="142">
        <f>Data_File!E29</f>
        <v>300</v>
      </c>
      <c r="D34" s="142">
        <f>Data_File!F30</f>
        <v>252.19040425836982</v>
      </c>
      <c r="E34" s="5">
        <f>C!P34</f>
        <v>100.00000000000001</v>
      </c>
      <c r="F34" s="5">
        <f>C!Q34</f>
        <v>100</v>
      </c>
      <c r="G34" s="5">
        <f>C!R34</f>
        <v>99.99999999999997</v>
      </c>
      <c r="I34" s="1">
        <f>C!E35</f>
        <v>0.9891980066024207</v>
      </c>
      <c r="J34" s="1">
        <f t="shared" si="0"/>
        <v>0.9834382414307049</v>
      </c>
      <c r="Q34">
        <f t="shared" si="1"/>
        <v>0</v>
      </c>
      <c r="R34">
        <f t="shared" si="2"/>
        <v>0</v>
      </c>
      <c r="S34">
        <f t="shared" si="3"/>
        <v>0</v>
      </c>
    </row>
    <row r="35" spans="1:19" ht="12.75">
      <c r="A35" s="11">
        <v>15</v>
      </c>
      <c r="B35">
        <f>Data_File!D30</f>
        <v>65</v>
      </c>
      <c r="C35" s="142">
        <f>Data_File!E30</f>
        <v>212</v>
      </c>
      <c r="D35" s="142">
        <f>Data_File!F31</f>
        <v>178.3255450012701</v>
      </c>
      <c r="E35" s="5">
        <f>C!P35</f>
        <v>97.2936469228244</v>
      </c>
      <c r="F35" s="5">
        <f>C!Q35</f>
        <v>95.50592508668205</v>
      </c>
      <c r="G35" s="5">
        <f>C!R35</f>
        <v>99.92769234172265</v>
      </c>
      <c r="I35" s="1">
        <f>C!E36</f>
        <v>0.9455808033830096</v>
      </c>
      <c r="J35" s="1">
        <f t="shared" si="0"/>
        <v>0.9163309832929244</v>
      </c>
      <c r="Q35">
        <f t="shared" si="1"/>
        <v>0</v>
      </c>
      <c r="R35">
        <f t="shared" si="2"/>
        <v>0</v>
      </c>
      <c r="S35">
        <f t="shared" si="3"/>
        <v>0</v>
      </c>
    </row>
    <row r="36" spans="1:19" ht="12.75">
      <c r="A36" s="11">
        <v>16</v>
      </c>
      <c r="B36">
        <f>Data_File!D31</f>
        <v>100</v>
      </c>
      <c r="C36" s="142">
        <f>Data_File!E31</f>
        <v>150</v>
      </c>
      <c r="D36" s="142">
        <f>Data_File!F32</f>
        <v>126.09520212918491</v>
      </c>
      <c r="E36" s="5">
        <f>C!P36</f>
        <v>89.94693385041897</v>
      </c>
      <c r="F36" s="5">
        <f>C!Q36</f>
        <v>83.84415847612092</v>
      </c>
      <c r="G36" s="5">
        <f>C!R36</f>
        <v>98.93881793006018</v>
      </c>
      <c r="I36" s="1">
        <f>C!E37</f>
        <v>0.8550709563488026</v>
      </c>
      <c r="J36" s="1">
        <f t="shared" si="0"/>
        <v>0.7770770371290292</v>
      </c>
      <c r="Q36">
        <f t="shared" si="1"/>
        <v>118.97562808190447</v>
      </c>
      <c r="R36">
        <f t="shared" si="2"/>
        <v>141.6644389368302</v>
      </c>
      <c r="S36">
        <f t="shared" si="3"/>
        <v>0</v>
      </c>
    </row>
    <row r="37" spans="1:19" ht="12.75">
      <c r="A37" s="11">
        <v>17</v>
      </c>
      <c r="B37">
        <f>Data_File!D32</f>
        <v>150</v>
      </c>
      <c r="C37" s="142">
        <f>Data_File!E32</f>
        <v>106</v>
      </c>
      <c r="D37" s="142">
        <f>Data_File!F33</f>
        <v>89.16277250063504</v>
      </c>
      <c r="E37" s="5">
        <f>C!P37</f>
        <v>75.46142274710002</v>
      </c>
      <c r="F37" s="5">
        <f>C!Q37</f>
        <v>63.051568062172436</v>
      </c>
      <c r="G37" s="5">
        <f>C!R37</f>
        <v>93.74621416216938</v>
      </c>
      <c r="I37" s="1">
        <f>C!E38</f>
        <v>0.7378281972605776</v>
      </c>
      <c r="J37" s="1">
        <f t="shared" si="0"/>
        <v>0.5966931629191012</v>
      </c>
      <c r="Q37">
        <f t="shared" si="1"/>
        <v>0</v>
      </c>
      <c r="R37">
        <f t="shared" si="2"/>
        <v>0</v>
      </c>
      <c r="S37">
        <f t="shared" si="3"/>
        <v>0</v>
      </c>
    </row>
    <row r="38" spans="1:19" ht="12.75">
      <c r="A38" s="11">
        <v>18</v>
      </c>
      <c r="B38">
        <f>Data_File!D33</f>
        <v>200</v>
      </c>
      <c r="C38" s="142">
        <f>Data_File!E33</f>
        <v>75</v>
      </c>
      <c r="D38" s="142">
        <f>Data_File!F34</f>
        <v>63.047601064592456</v>
      </c>
      <c r="E38" s="5">
        <f>C!P38</f>
        <v>62.81145247420368</v>
      </c>
      <c r="F38" s="5">
        <f>C!Q38</f>
        <v>47.38343059019978</v>
      </c>
      <c r="G38" s="5">
        <f>C!R38</f>
        <v>85.54323856342842</v>
      </c>
      <c r="I38" s="1">
        <f>C!E39</f>
        <v>0.624731267082834</v>
      </c>
      <c r="J38" s="1">
        <f t="shared" si="0"/>
        <v>0.42268785474173665</v>
      </c>
      <c r="Q38">
        <f t="shared" si="1"/>
        <v>0</v>
      </c>
      <c r="R38">
        <f t="shared" si="2"/>
        <v>0</v>
      </c>
      <c r="S38">
        <f t="shared" si="3"/>
        <v>58.37929309575907</v>
      </c>
    </row>
    <row r="39" spans="1:19" ht="12.75">
      <c r="A39" s="11">
        <v>19</v>
      </c>
      <c r="B39">
        <f>Data_File!D34</f>
        <v>270</v>
      </c>
      <c r="C39" s="142">
        <f>Data_File!E34</f>
        <v>53</v>
      </c>
      <c r="D39" s="142">
        <f>Data_File!F35</f>
        <v>44.87761134463375</v>
      </c>
      <c r="E39" s="5">
        <f>C!P39</f>
        <v>54.63985063044093</v>
      </c>
      <c r="F39" s="5">
        <f>C!Q39</f>
        <v>38.81358375255846</v>
      </c>
      <c r="G39" s="5">
        <f>C!R39</f>
        <v>77.95841447251152</v>
      </c>
      <c r="I39" s="1">
        <f>C!E40</f>
        <v>0.5352871138174518</v>
      </c>
      <c r="J39" s="1">
        <f t="shared" si="0"/>
        <v>0.2850735319732386</v>
      </c>
      <c r="Q39">
        <f t="shared" si="1"/>
        <v>0</v>
      </c>
      <c r="R39">
        <f t="shared" si="2"/>
        <v>0</v>
      </c>
      <c r="S39">
        <f t="shared" si="3"/>
        <v>0</v>
      </c>
    </row>
    <row r="40" spans="1:19" ht="12.75">
      <c r="A40" s="11">
        <v>20</v>
      </c>
      <c r="B40">
        <f>Data_File!D35</f>
        <v>400</v>
      </c>
      <c r="C40" s="142">
        <f>Data_File!E35</f>
        <v>38</v>
      </c>
      <c r="D40" s="143">
        <f>Data_File!F36</f>
        <v>19</v>
      </c>
      <c r="E40" s="5">
        <f>C!P40</f>
        <v>48.82068164610915</v>
      </c>
      <c r="F40" s="5">
        <f>C!Q40</f>
        <v>33.584562854324666</v>
      </c>
      <c r="G40" s="5">
        <f>C!R40</f>
        <v>71.26971599470308</v>
      </c>
      <c r="I40" s="21">
        <f>C!E41</f>
        <v>0.40979177837334385</v>
      </c>
      <c r="J40" s="21">
        <f t="shared" si="0"/>
        <v>0.09199265449535443</v>
      </c>
      <c r="Q40">
        <f>IF(E40&gt;80,IF(#REF!&lt;80,#REF!*EXP(LN(80/#REF!)*LN($C40/#REF!)/LN(E40/#REF!)),0),0)</f>
        <v>0</v>
      </c>
      <c r="R40">
        <f>IF(F40&gt;80,IF(#REF!&lt;80,#REF!*EXP(LN(80/#REF!)*LN($C40/#REF!)/LN(F40/#REF!)),0),0)</f>
        <v>0</v>
      </c>
      <c r="S40">
        <f>IF(G40&gt;80,IF(#REF!&lt;80,#REF!*EXP(LN(80/#REF!)*LN($C40/#REF!)/LN(G40/#REF!)),0),0)</f>
        <v>0</v>
      </c>
    </row>
    <row r="41" spans="1:10" ht="12.75">
      <c r="A41" s="11"/>
      <c r="D41" s="14"/>
      <c r="E41" s="5"/>
      <c r="F41" s="5"/>
      <c r="G41" s="5"/>
      <c r="I41" s="21"/>
      <c r="J41" s="21"/>
    </row>
    <row r="42" spans="1:19" ht="12.75">
      <c r="A42" s="11"/>
      <c r="B42" s="18" t="s">
        <v>74</v>
      </c>
      <c r="C42" s="8"/>
      <c r="D42" s="129"/>
      <c r="E42" s="130">
        <f>Q42</f>
        <v>118.97562808190447</v>
      </c>
      <c r="F42" s="130">
        <f>R42</f>
        <v>141.6644389368302</v>
      </c>
      <c r="G42" s="131">
        <f>S42</f>
        <v>58.37929309575907</v>
      </c>
      <c r="I42" s="21"/>
      <c r="J42" s="21"/>
      <c r="Q42">
        <f>SUM(Q22:Q40)</f>
        <v>118.97562808190447</v>
      </c>
      <c r="R42">
        <f>SUM(R22:R40)</f>
        <v>141.6644389368302</v>
      </c>
      <c r="S42">
        <f>SUM(S22:S40)</f>
        <v>58.37929309575907</v>
      </c>
    </row>
    <row r="43" spans="1:10" ht="12.75">
      <c r="A43" s="11"/>
      <c r="D43" s="14"/>
      <c r="E43" s="5"/>
      <c r="F43" s="5"/>
      <c r="G43" s="5"/>
      <c r="I43" s="21"/>
      <c r="J43" s="21"/>
    </row>
    <row r="44" spans="2:10" ht="12.75">
      <c r="B44" t="s">
        <v>67</v>
      </c>
      <c r="E44" s="4">
        <f>Data_File!N9</f>
        <v>128.2</v>
      </c>
      <c r="F44" s="4">
        <f>G44*C!E8</f>
        <v>76.36870129648207</v>
      </c>
      <c r="G44" s="4">
        <f>Data_File!N9/(1+C!E8)</f>
        <v>51.83129870351794</v>
      </c>
      <c r="I44" s="176" t="s">
        <v>17</v>
      </c>
      <c r="J44" s="176"/>
    </row>
    <row r="45" spans="2:7" ht="12.75">
      <c r="B45" t="s">
        <v>68</v>
      </c>
      <c r="E45" s="4">
        <f>F45+G45</f>
        <v>315.8941490585431</v>
      </c>
      <c r="F45" s="4">
        <f>F46-F44</f>
        <v>73.73044336648971</v>
      </c>
      <c r="G45" s="4">
        <f>G46-G44</f>
        <v>242.1637056920534</v>
      </c>
    </row>
    <row r="46" spans="2:10" ht="12.75">
      <c r="B46" t="s">
        <v>69</v>
      </c>
      <c r="E46" s="4">
        <f>F46+G46</f>
        <v>444.09414905854317</v>
      </c>
      <c r="F46" s="4">
        <f>F44/F50*100</f>
        <v>150.09914466297178</v>
      </c>
      <c r="G46" s="4">
        <f>G44/G50*100</f>
        <v>293.99500439557136</v>
      </c>
      <c r="I46" s="3" t="s">
        <v>18</v>
      </c>
      <c r="J46" s="1">
        <f>C!A7</f>
        <v>48.26134935990887</v>
      </c>
    </row>
    <row r="47" spans="2:10" ht="12.75">
      <c r="B47" t="s">
        <v>70</v>
      </c>
      <c r="E47" s="4">
        <f>F47+G47</f>
        <v>358.20438008164547</v>
      </c>
      <c r="F47" s="4">
        <f>F44/Data_File!$N$8+F45</f>
        <v>98.9346352135135</v>
      </c>
      <c r="G47" s="4">
        <f>G44/Data_File!$N$8+G45</f>
        <v>259.26974486813197</v>
      </c>
      <c r="I47" s="3" t="s">
        <v>19</v>
      </c>
      <c r="J47" s="1">
        <f>C!B7</f>
        <v>6.612419574035476</v>
      </c>
    </row>
    <row r="48" spans="2:10" ht="12.75">
      <c r="B48" t="s">
        <v>71</v>
      </c>
      <c r="E48" s="1">
        <f>E46/E47</f>
        <v>1.2397786675788858</v>
      </c>
      <c r="F48" s="1">
        <f>F46/F47</f>
        <v>1.5171546783291694</v>
      </c>
      <c r="G48" s="1">
        <f>G46/G47</f>
        <v>1.1339348698210088</v>
      </c>
      <c r="I48" s="3" t="s">
        <v>20</v>
      </c>
      <c r="J48" s="1">
        <f>C!C7</f>
        <v>46.47076083467528</v>
      </c>
    </row>
    <row r="49" spans="2:10" ht="12.75">
      <c r="B49" t="s">
        <v>72</v>
      </c>
      <c r="E49" s="4">
        <f>E44/Data_File!N8/E47*100</f>
        <v>11.81175702359043</v>
      </c>
      <c r="F49" s="4">
        <f>F44/Data_File!N8/F47*100</f>
        <v>25.475599917693074</v>
      </c>
      <c r="G49" s="4">
        <f>G44/Data_File!N8/G47*100</f>
        <v>6.597776838473339</v>
      </c>
      <c r="I49" s="3" t="s">
        <v>21</v>
      </c>
      <c r="J49" s="1">
        <f>C!D7</f>
        <v>0.09876028661580011</v>
      </c>
    </row>
    <row r="50" spans="2:10" ht="12.75">
      <c r="B50" s="8" t="s">
        <v>73</v>
      </c>
      <c r="C50" s="8"/>
      <c r="D50" s="8"/>
      <c r="E50" s="9">
        <f>C!H15</f>
        <v>28.867752541162147</v>
      </c>
      <c r="F50" s="9">
        <f>C!I15</f>
        <v>50.87883842906508</v>
      </c>
      <c r="G50" s="9">
        <f>C!J15</f>
        <v>17.629993002799033</v>
      </c>
      <c r="I50" s="12" t="str">
        <f>Control_Panel!C29</f>
        <v>l</v>
      </c>
      <c r="J50" s="25">
        <f>C!E7</f>
        <v>1.4995563178823996</v>
      </c>
    </row>
    <row r="51" spans="2:10" ht="21">
      <c r="B51" s="127" t="s">
        <v>111</v>
      </c>
      <c r="E51" s="5"/>
      <c r="F51" s="2"/>
      <c r="J51" s="128" t="s">
        <v>112</v>
      </c>
    </row>
    <row r="53" spans="5:10" ht="15.75">
      <c r="E53" s="254" t="s">
        <v>120</v>
      </c>
      <c r="F53" s="254"/>
      <c r="G53" s="254"/>
      <c r="I53" s="20" t="s">
        <v>75</v>
      </c>
      <c r="J53" s="104">
        <f>J3</f>
        <v>2</v>
      </c>
    </row>
    <row r="54" spans="5:7" ht="12.75">
      <c r="E54" s="177" t="s">
        <v>124</v>
      </c>
      <c r="F54" s="177"/>
      <c r="G54" s="177"/>
    </row>
    <row r="56" spans="2:10" ht="12.75">
      <c r="B56" t="s">
        <v>66</v>
      </c>
      <c r="C56" s="60" t="str">
        <f>C6</f>
        <v> Base Case Example</v>
      </c>
      <c r="D56" s="61"/>
      <c r="E56" s="61"/>
      <c r="F56" s="61"/>
      <c r="G56" s="61"/>
      <c r="H56" s="61"/>
      <c r="I56" s="61"/>
      <c r="J56" s="62"/>
    </row>
    <row r="57" spans="3:10" ht="12.75">
      <c r="C57" s="63" t="str">
        <f>C7</f>
        <v> </v>
      </c>
      <c r="D57" s="64"/>
      <c r="E57" s="64"/>
      <c r="F57" s="64"/>
      <c r="G57" s="64"/>
      <c r="H57" s="64"/>
      <c r="I57" s="64"/>
      <c r="J57" s="65"/>
    </row>
    <row r="59" spans="2:7" ht="12.75">
      <c r="B59" t="s">
        <v>51</v>
      </c>
      <c r="D59">
        <f>D9</f>
        <v>4</v>
      </c>
      <c r="G59" t="s">
        <v>53</v>
      </c>
    </row>
    <row r="60" spans="2:10" ht="12.75">
      <c r="B60" t="s">
        <v>55</v>
      </c>
      <c r="G60" s="2"/>
      <c r="H60" s="7" t="s">
        <v>56</v>
      </c>
      <c r="J60" s="4">
        <f>Data_File!N9*(1/Data_File!N8+100/Data_File!I39-1)</f>
        <v>337.21254125412537</v>
      </c>
    </row>
    <row r="61" spans="3:10" ht="12.75">
      <c r="C61" s="7" t="s">
        <v>40</v>
      </c>
      <c r="D61" s="5">
        <f aca="true" t="shared" si="4" ref="D61:D66">D11</f>
        <v>15</v>
      </c>
      <c r="E61" s="2"/>
      <c r="H61" s="7" t="s">
        <v>57</v>
      </c>
      <c r="J61" s="4">
        <f>J11</f>
        <v>26</v>
      </c>
    </row>
    <row r="62" spans="3:10" ht="12.75">
      <c r="C62" s="7" t="s">
        <v>52</v>
      </c>
      <c r="D62" s="5">
        <f t="shared" si="4"/>
        <v>45</v>
      </c>
      <c r="H62" s="7"/>
      <c r="J62" s="4"/>
    </row>
    <row r="63" spans="3:10" ht="12.75">
      <c r="C63" s="7" t="s">
        <v>48</v>
      </c>
      <c r="D63" s="5">
        <f t="shared" si="4"/>
        <v>4</v>
      </c>
      <c r="H63" s="7"/>
      <c r="J63" s="4"/>
    </row>
    <row r="64" spans="3:10" ht="12.75">
      <c r="C64" s="7" t="s">
        <v>49</v>
      </c>
      <c r="D64" s="5">
        <f t="shared" si="4"/>
        <v>7.5</v>
      </c>
      <c r="H64" s="7"/>
      <c r="J64" s="4"/>
    </row>
    <row r="65" spans="3:10" ht="12.75">
      <c r="C65" s="7" t="s">
        <v>50</v>
      </c>
      <c r="D65" s="5">
        <f t="shared" si="4"/>
        <v>3.5</v>
      </c>
      <c r="H65" s="7"/>
      <c r="J65" s="5"/>
    </row>
    <row r="66" spans="2:10" ht="12.75">
      <c r="B66" s="7" t="s">
        <v>46</v>
      </c>
      <c r="D66" s="5">
        <f t="shared" si="4"/>
        <v>3.03</v>
      </c>
      <c r="H66" t="s">
        <v>60</v>
      </c>
      <c r="J66" s="6">
        <f>Data_File!T40*100</f>
        <v>96.54646844387524</v>
      </c>
    </row>
    <row r="67" spans="2:10" ht="12.75">
      <c r="B67" s="7"/>
      <c r="D67" s="5"/>
      <c r="J67" s="6"/>
    </row>
    <row r="68" spans="5:10" ht="12.75">
      <c r="E68" s="178" t="s">
        <v>63</v>
      </c>
      <c r="F68" s="178"/>
      <c r="G68" s="178"/>
      <c r="H68" s="178"/>
      <c r="I68" s="178"/>
      <c r="J68" s="178"/>
    </row>
    <row r="69" spans="1:10" ht="12.75">
      <c r="A69" s="16"/>
      <c r="B69" s="16"/>
      <c r="C69" s="16"/>
      <c r="D69" s="16"/>
      <c r="E69" s="255" t="s">
        <v>122</v>
      </c>
      <c r="F69" s="256"/>
      <c r="G69" s="257"/>
      <c r="H69" s="255" t="s">
        <v>123</v>
      </c>
      <c r="I69" s="256"/>
      <c r="J69" s="257"/>
    </row>
    <row r="70" spans="1:10" ht="12.75">
      <c r="A70" s="2" t="s">
        <v>2</v>
      </c>
      <c r="B70" s="17" t="s">
        <v>0</v>
      </c>
      <c r="C70" s="17" t="s">
        <v>1</v>
      </c>
      <c r="D70" s="17" t="s">
        <v>3</v>
      </c>
      <c r="E70" s="132" t="s">
        <v>4</v>
      </c>
      <c r="F70" s="19" t="s">
        <v>6</v>
      </c>
      <c r="G70" s="133" t="s">
        <v>7</v>
      </c>
      <c r="H70" s="132" t="s">
        <v>4</v>
      </c>
      <c r="I70" s="19" t="s">
        <v>6</v>
      </c>
      <c r="J70" s="133" t="s">
        <v>7</v>
      </c>
    </row>
    <row r="71" spans="1:10" ht="12.75">
      <c r="A71" s="3"/>
      <c r="B71" s="3"/>
      <c r="C71" s="3"/>
      <c r="D71" s="3"/>
      <c r="E71" s="134"/>
      <c r="F71" s="135"/>
      <c r="G71" s="136"/>
      <c r="H71" s="139"/>
      <c r="I71" s="135"/>
      <c r="J71" s="136"/>
    </row>
    <row r="72" spans="1:10" ht="12.75">
      <c r="A72" s="11">
        <v>1</v>
      </c>
      <c r="B72">
        <f aca="true" t="shared" si="5" ref="B72:D89">B21</f>
        <v>0</v>
      </c>
      <c r="C72" s="142">
        <f t="shared" si="5"/>
        <v>0</v>
      </c>
      <c r="D72" s="142">
        <f t="shared" si="5"/>
        <v>0</v>
      </c>
      <c r="E72" s="137">
        <f>Data_File!I16</f>
        <v>100</v>
      </c>
      <c r="F72" s="15">
        <f>Data_File!L16</f>
        <v>100</v>
      </c>
      <c r="G72" s="138">
        <f>Data_File!O16</f>
        <v>100</v>
      </c>
      <c r="H72" s="137">
        <f>E21</f>
        <v>100</v>
      </c>
      <c r="I72" s="15">
        <f aca="true" t="shared" si="6" ref="I72:J87">F21</f>
        <v>100</v>
      </c>
      <c r="J72" s="138">
        <f t="shared" si="6"/>
        <v>99.99999999999997</v>
      </c>
    </row>
    <row r="73" spans="1:10" ht="12.75">
      <c r="A73" s="11">
        <v>2</v>
      </c>
      <c r="B73">
        <f t="shared" si="5"/>
        <v>0</v>
      </c>
      <c r="C73" s="142">
        <f t="shared" si="5"/>
        <v>0</v>
      </c>
      <c r="D73" s="142">
        <f t="shared" si="5"/>
        <v>0</v>
      </c>
      <c r="E73" s="137">
        <f>Data_File!I17</f>
        <v>0</v>
      </c>
      <c r="F73" s="15">
        <f>Data_File!L17</f>
        <v>0</v>
      </c>
      <c r="G73" s="138">
        <f>Data_File!O17</f>
        <v>0</v>
      </c>
      <c r="H73" s="137">
        <f aca="true" t="shared" si="7" ref="H73:H91">E22</f>
        <v>0</v>
      </c>
      <c r="I73" s="15">
        <f t="shared" si="6"/>
        <v>41.24556364288083</v>
      </c>
      <c r="J73" s="138">
        <f t="shared" si="6"/>
        <v>-60.771584128460546</v>
      </c>
    </row>
    <row r="74" spans="1:10" ht="12.75">
      <c r="A74" s="11">
        <v>3</v>
      </c>
      <c r="B74">
        <f t="shared" si="5"/>
        <v>0</v>
      </c>
      <c r="C74" s="142">
        <f t="shared" si="5"/>
        <v>0</v>
      </c>
      <c r="D74" s="142">
        <f t="shared" si="5"/>
        <v>0</v>
      </c>
      <c r="E74" s="137">
        <f>Data_File!I18</f>
        <v>0</v>
      </c>
      <c r="F74" s="15">
        <f>Data_File!L18</f>
        <v>0</v>
      </c>
      <c r="G74" s="138">
        <f>Data_File!O18</f>
        <v>0</v>
      </c>
      <c r="H74" s="137">
        <f t="shared" si="7"/>
        <v>0</v>
      </c>
      <c r="I74" s="15">
        <f t="shared" si="6"/>
        <v>41.24556364288083</v>
      </c>
      <c r="J74" s="138">
        <f t="shared" si="6"/>
        <v>-60.771584128460546</v>
      </c>
    </row>
    <row r="75" spans="1:10" ht="12.75">
      <c r="A75" s="11">
        <v>4</v>
      </c>
      <c r="B75">
        <f t="shared" si="5"/>
        <v>0</v>
      </c>
      <c r="C75" s="142">
        <f t="shared" si="5"/>
        <v>0</v>
      </c>
      <c r="D75" s="142">
        <f t="shared" si="5"/>
        <v>0</v>
      </c>
      <c r="E75" s="137">
        <f>Data_File!I19</f>
        <v>0</v>
      </c>
      <c r="F75" s="15">
        <f>Data_File!L19</f>
        <v>0</v>
      </c>
      <c r="G75" s="138">
        <f>Data_File!O19</f>
        <v>0</v>
      </c>
      <c r="H75" s="137">
        <f t="shared" si="7"/>
        <v>0</v>
      </c>
      <c r="I75" s="15">
        <f t="shared" si="6"/>
        <v>41.24556364288083</v>
      </c>
      <c r="J75" s="138">
        <f t="shared" si="6"/>
        <v>-60.771584128460546</v>
      </c>
    </row>
    <row r="76" spans="1:10" ht="12.75">
      <c r="A76" s="11">
        <v>5</v>
      </c>
      <c r="B76">
        <f t="shared" si="5"/>
        <v>0</v>
      </c>
      <c r="C76" s="142">
        <f t="shared" si="5"/>
        <v>0</v>
      </c>
      <c r="D76" s="142">
        <f t="shared" si="5"/>
        <v>0</v>
      </c>
      <c r="E76" s="137">
        <f>Data_File!I20</f>
        <v>0</v>
      </c>
      <c r="F76" s="15">
        <f>Data_File!L20</f>
        <v>0</v>
      </c>
      <c r="G76" s="138">
        <f>Data_File!O20</f>
        <v>0</v>
      </c>
      <c r="H76" s="137">
        <f t="shared" si="7"/>
        <v>0</v>
      </c>
      <c r="I76" s="15">
        <f t="shared" si="6"/>
        <v>41.24556364288083</v>
      </c>
      <c r="J76" s="138">
        <f t="shared" si="6"/>
        <v>-60.771584128460546</v>
      </c>
    </row>
    <row r="77" spans="1:10" ht="12.75">
      <c r="A77" s="11">
        <v>6</v>
      </c>
      <c r="B77">
        <f t="shared" si="5"/>
        <v>0</v>
      </c>
      <c r="C77" s="142">
        <f t="shared" si="5"/>
        <v>0</v>
      </c>
      <c r="D77" s="142">
        <f t="shared" si="5"/>
        <v>0</v>
      </c>
      <c r="E77" s="137">
        <f>Data_File!I21</f>
        <v>0</v>
      </c>
      <c r="F77" s="15">
        <f>Data_File!L21</f>
        <v>0</v>
      </c>
      <c r="G77" s="138">
        <f>Data_File!O21</f>
        <v>0</v>
      </c>
      <c r="H77" s="137">
        <f t="shared" si="7"/>
        <v>0</v>
      </c>
      <c r="I77" s="15">
        <f t="shared" si="6"/>
        <v>41.24556364288083</v>
      </c>
      <c r="J77" s="138">
        <f t="shared" si="6"/>
        <v>-60.771584128460546</v>
      </c>
    </row>
    <row r="78" spans="1:10" ht="12.75">
      <c r="A78" s="11">
        <v>7</v>
      </c>
      <c r="B78">
        <f t="shared" si="5"/>
        <v>0</v>
      </c>
      <c r="C78" s="142">
        <f t="shared" si="5"/>
        <v>0</v>
      </c>
      <c r="D78" s="142">
        <f t="shared" si="5"/>
        <v>0</v>
      </c>
      <c r="E78" s="137">
        <f>Data_File!I22</f>
        <v>0</v>
      </c>
      <c r="F78" s="15">
        <f>Data_File!L22</f>
        <v>0</v>
      </c>
      <c r="G78" s="138">
        <f>Data_File!O22</f>
        <v>0</v>
      </c>
      <c r="H78" s="137">
        <f t="shared" si="7"/>
        <v>0</v>
      </c>
      <c r="I78" s="15">
        <f t="shared" si="6"/>
        <v>41.24556364288083</v>
      </c>
      <c r="J78" s="138">
        <f t="shared" si="6"/>
        <v>-60.771584128460546</v>
      </c>
    </row>
    <row r="79" spans="1:10" ht="12.75">
      <c r="A79" s="11">
        <v>8</v>
      </c>
      <c r="B79">
        <f t="shared" si="5"/>
        <v>0</v>
      </c>
      <c r="C79" s="142">
        <f t="shared" si="5"/>
        <v>0</v>
      </c>
      <c r="D79" s="142">
        <f t="shared" si="5"/>
        <v>0</v>
      </c>
      <c r="E79" s="137">
        <f>Data_File!I23</f>
        <v>0</v>
      </c>
      <c r="F79" s="15">
        <f>Data_File!L23</f>
        <v>0</v>
      </c>
      <c r="G79" s="138">
        <f>Data_File!O23</f>
        <v>0</v>
      </c>
      <c r="H79" s="137">
        <f t="shared" si="7"/>
        <v>0</v>
      </c>
      <c r="I79" s="15">
        <f t="shared" si="6"/>
        <v>41.24556364288083</v>
      </c>
      <c r="J79" s="138">
        <f t="shared" si="6"/>
        <v>-60.771584128460546</v>
      </c>
    </row>
    <row r="80" spans="1:10" ht="12.75">
      <c r="A80" s="11">
        <v>9</v>
      </c>
      <c r="B80">
        <f t="shared" si="5"/>
        <v>0</v>
      </c>
      <c r="C80" s="142">
        <f t="shared" si="5"/>
        <v>0</v>
      </c>
      <c r="D80" s="142">
        <f t="shared" si="5"/>
        <v>0</v>
      </c>
      <c r="E80" s="137">
        <f>Data_File!I24</f>
        <v>0</v>
      </c>
      <c r="F80" s="15">
        <f>Data_File!L24</f>
        <v>0</v>
      </c>
      <c r="G80" s="138">
        <f>Data_File!O24</f>
        <v>0</v>
      </c>
      <c r="H80" s="137">
        <f t="shared" si="7"/>
        <v>0</v>
      </c>
      <c r="I80" s="15">
        <f t="shared" si="6"/>
        <v>41.24556364288083</v>
      </c>
      <c r="J80" s="138">
        <f t="shared" si="6"/>
        <v>-60.771584128460546</v>
      </c>
    </row>
    <row r="81" spans="1:10" ht="12.75">
      <c r="A81" s="11">
        <v>10</v>
      </c>
      <c r="B81">
        <f t="shared" si="5"/>
        <v>0</v>
      </c>
      <c r="C81" s="142">
        <f t="shared" si="5"/>
        <v>0</v>
      </c>
      <c r="D81" s="142">
        <f t="shared" si="5"/>
        <v>0</v>
      </c>
      <c r="E81" s="137">
        <f>Data_File!I25</f>
        <v>0</v>
      </c>
      <c r="F81" s="15">
        <f>Data_File!L25</f>
        <v>0</v>
      </c>
      <c r="G81" s="138">
        <f>Data_File!O25</f>
        <v>0</v>
      </c>
      <c r="H81" s="137">
        <f t="shared" si="7"/>
        <v>0</v>
      </c>
      <c r="I81" s="15">
        <f t="shared" si="6"/>
        <v>41.24556364288083</v>
      </c>
      <c r="J81" s="138">
        <f t="shared" si="6"/>
        <v>-60.771584128460546</v>
      </c>
    </row>
    <row r="82" spans="1:10" ht="12.75">
      <c r="A82" s="11">
        <v>11</v>
      </c>
      <c r="B82">
        <f t="shared" si="5"/>
        <v>0</v>
      </c>
      <c r="C82" s="142">
        <f t="shared" si="5"/>
        <v>0</v>
      </c>
      <c r="D82" s="142">
        <f t="shared" si="5"/>
        <v>0</v>
      </c>
      <c r="E82" s="137">
        <f>Data_File!I26</f>
        <v>0</v>
      </c>
      <c r="F82" s="15">
        <f>Data_File!L26</f>
        <v>0</v>
      </c>
      <c r="G82" s="138">
        <f>Data_File!O26</f>
        <v>0</v>
      </c>
      <c r="H82" s="137">
        <f t="shared" si="7"/>
        <v>0</v>
      </c>
      <c r="I82" s="15">
        <f t="shared" si="6"/>
        <v>41.24556364288083</v>
      </c>
      <c r="J82" s="138">
        <f t="shared" si="6"/>
        <v>-60.771584128460546</v>
      </c>
    </row>
    <row r="83" spans="1:10" ht="12.75">
      <c r="A83" s="11">
        <v>12</v>
      </c>
      <c r="B83">
        <f t="shared" si="5"/>
        <v>0</v>
      </c>
      <c r="C83" s="142">
        <f t="shared" si="5"/>
        <v>0</v>
      </c>
      <c r="D83" s="142">
        <f t="shared" si="5"/>
        <v>0</v>
      </c>
      <c r="E83" s="137">
        <f>Data_File!I27</f>
        <v>0</v>
      </c>
      <c r="F83" s="15">
        <f>Data_File!L27</f>
        <v>0</v>
      </c>
      <c r="G83" s="138">
        <f>Data_File!O27</f>
        <v>0</v>
      </c>
      <c r="H83" s="137">
        <f t="shared" si="7"/>
        <v>0</v>
      </c>
      <c r="I83" s="15">
        <f t="shared" si="6"/>
        <v>41.24556364288083</v>
      </c>
      <c r="J83" s="138">
        <f t="shared" si="6"/>
        <v>-60.771584128460546</v>
      </c>
    </row>
    <row r="84" spans="1:10" ht="12.75">
      <c r="A84" s="11">
        <v>13</v>
      </c>
      <c r="B84">
        <f t="shared" si="5"/>
        <v>0</v>
      </c>
      <c r="C84" s="142">
        <f t="shared" si="5"/>
        <v>0</v>
      </c>
      <c r="D84" s="142">
        <f t="shared" si="5"/>
        <v>0</v>
      </c>
      <c r="E84" s="137">
        <f>Data_File!I28</f>
        <v>0</v>
      </c>
      <c r="F84" s="15">
        <f>Data_File!L28</f>
        <v>0</v>
      </c>
      <c r="G84" s="138">
        <f>Data_File!O28</f>
        <v>0</v>
      </c>
      <c r="H84" s="137">
        <f t="shared" si="7"/>
        <v>0</v>
      </c>
      <c r="I84" s="15">
        <f t="shared" si="6"/>
        <v>41.24556364288083</v>
      </c>
      <c r="J84" s="138">
        <f t="shared" si="6"/>
        <v>-60.771584128460546</v>
      </c>
    </row>
    <row r="85" spans="1:10" ht="12.75">
      <c r="A85" s="11">
        <v>14</v>
      </c>
      <c r="B85">
        <f t="shared" si="5"/>
        <v>48</v>
      </c>
      <c r="C85" s="142">
        <f t="shared" si="5"/>
        <v>300</v>
      </c>
      <c r="D85" s="142">
        <f t="shared" si="5"/>
        <v>252.19040425836982</v>
      </c>
      <c r="E85" s="137">
        <f>Data_File!I29</f>
        <v>100</v>
      </c>
      <c r="F85" s="15">
        <f>Data_File!L29</f>
        <v>100</v>
      </c>
      <c r="G85" s="138">
        <f>Data_File!O29</f>
        <v>100</v>
      </c>
      <c r="H85" s="137">
        <f t="shared" si="7"/>
        <v>100.00000000000001</v>
      </c>
      <c r="I85" s="15">
        <f t="shared" si="6"/>
        <v>100</v>
      </c>
      <c r="J85" s="138">
        <f t="shared" si="6"/>
        <v>99.99999999999997</v>
      </c>
    </row>
    <row r="86" spans="1:10" ht="12.75">
      <c r="A86" s="11">
        <v>15</v>
      </c>
      <c r="B86">
        <f t="shared" si="5"/>
        <v>65</v>
      </c>
      <c r="C86" s="142">
        <f t="shared" si="5"/>
        <v>212</v>
      </c>
      <c r="D86" s="142">
        <f t="shared" si="5"/>
        <v>178.3255450012701</v>
      </c>
      <c r="E86" s="137">
        <f>Data_File!I30</f>
        <v>97.23981900452489</v>
      </c>
      <c r="F86" s="15">
        <f>Data_File!L30</f>
        <v>95.13888888888889</v>
      </c>
      <c r="G86" s="138">
        <f>Data_File!O30</f>
        <v>99.52054794520548</v>
      </c>
      <c r="H86" s="137">
        <f t="shared" si="7"/>
        <v>97.2936469228244</v>
      </c>
      <c r="I86" s="15">
        <f t="shared" si="6"/>
        <v>95.50592508668205</v>
      </c>
      <c r="J86" s="138">
        <f t="shared" si="6"/>
        <v>99.92769234172265</v>
      </c>
    </row>
    <row r="87" spans="1:10" ht="12.75">
      <c r="A87" s="11">
        <v>16</v>
      </c>
      <c r="B87">
        <f t="shared" si="5"/>
        <v>100</v>
      </c>
      <c r="C87" s="142">
        <f t="shared" si="5"/>
        <v>150</v>
      </c>
      <c r="D87" s="142">
        <f t="shared" si="5"/>
        <v>126.09520212918491</v>
      </c>
      <c r="E87" s="137">
        <f>Data_File!I31</f>
        <v>90.92760180995475</v>
      </c>
      <c r="F87" s="15">
        <f>Data_File!L31</f>
        <v>79.0625</v>
      </c>
      <c r="G87" s="138">
        <f>Data_File!O31</f>
        <v>97.78538812785388</v>
      </c>
      <c r="H87" s="137">
        <f t="shared" si="7"/>
        <v>89.94693385041897</v>
      </c>
      <c r="I87" s="15">
        <f t="shared" si="6"/>
        <v>83.84415847612092</v>
      </c>
      <c r="J87" s="138">
        <f t="shared" si="6"/>
        <v>98.93881793006018</v>
      </c>
    </row>
    <row r="88" spans="1:10" ht="12.75">
      <c r="A88" s="11">
        <v>17</v>
      </c>
      <c r="B88">
        <f t="shared" si="5"/>
        <v>150</v>
      </c>
      <c r="C88" s="142">
        <f t="shared" si="5"/>
        <v>106</v>
      </c>
      <c r="D88" s="142">
        <f t="shared" si="5"/>
        <v>89.16277250063504</v>
      </c>
      <c r="E88" s="137">
        <f>Data_File!I32</f>
        <v>78.43891402714932</v>
      </c>
      <c r="F88" s="15">
        <f>Data_File!L32</f>
        <v>47.72569444444444</v>
      </c>
      <c r="G88" s="138">
        <f>Data_File!O32</f>
        <v>94.13242009132419</v>
      </c>
      <c r="H88" s="137">
        <f t="shared" si="7"/>
        <v>75.46142274710002</v>
      </c>
      <c r="I88" s="15">
        <f aca="true" t="shared" si="8" ref="I88:J91">F37</f>
        <v>63.051568062172436</v>
      </c>
      <c r="J88" s="138">
        <f t="shared" si="8"/>
        <v>93.74621416216938</v>
      </c>
    </row>
    <row r="89" spans="1:10" ht="12.75">
      <c r="A89" s="11">
        <v>18</v>
      </c>
      <c r="B89">
        <f t="shared" si="5"/>
        <v>200</v>
      </c>
      <c r="C89" s="142">
        <f t="shared" si="5"/>
        <v>75</v>
      </c>
      <c r="D89" s="142">
        <f t="shared" si="5"/>
        <v>63.047601064592456</v>
      </c>
      <c r="E89" s="137">
        <f>Data_File!I33</f>
        <v>66.44796380090497</v>
      </c>
      <c r="F89" s="15">
        <f>Data_File!L33</f>
        <v>26.73611111111111</v>
      </c>
      <c r="G89" s="138">
        <f>Data_File!O33</f>
        <v>87.73972602739725</v>
      </c>
      <c r="H89" s="137">
        <f t="shared" si="7"/>
        <v>62.81145247420368</v>
      </c>
      <c r="I89" s="15">
        <f t="shared" si="8"/>
        <v>47.38343059019978</v>
      </c>
      <c r="J89" s="138">
        <f t="shared" si="8"/>
        <v>85.54323856342842</v>
      </c>
    </row>
    <row r="90" spans="1:10" ht="12.75">
      <c r="A90" s="11">
        <v>19</v>
      </c>
      <c r="B90">
        <f aca="true" t="shared" si="9" ref="B90:D91">B39</f>
        <v>270</v>
      </c>
      <c r="C90" s="142">
        <f t="shared" si="9"/>
        <v>53</v>
      </c>
      <c r="D90" s="142">
        <f t="shared" si="9"/>
        <v>44.87761134463375</v>
      </c>
      <c r="E90" s="137">
        <f>Data_File!I34</f>
        <v>58.50678733031673</v>
      </c>
      <c r="F90" s="15">
        <f>Data_File!L34</f>
        <v>17.916666666666668</v>
      </c>
      <c r="G90" s="138">
        <f>Data_File!O34</f>
        <v>79.56621004566209</v>
      </c>
      <c r="H90" s="137">
        <f t="shared" si="7"/>
        <v>54.63985063044093</v>
      </c>
      <c r="I90" s="15">
        <f t="shared" si="8"/>
        <v>38.81358375255846</v>
      </c>
      <c r="J90" s="138">
        <f t="shared" si="8"/>
        <v>77.95841447251152</v>
      </c>
    </row>
    <row r="91" spans="1:10" ht="12.75">
      <c r="A91" s="11">
        <v>20</v>
      </c>
      <c r="B91" s="13">
        <f t="shared" si="9"/>
        <v>400</v>
      </c>
      <c r="C91" s="142">
        <f t="shared" si="9"/>
        <v>38</v>
      </c>
      <c r="D91" s="143">
        <f t="shared" si="9"/>
        <v>19</v>
      </c>
      <c r="E91" s="140">
        <f>Data_File!I35</f>
        <v>52.51131221719456</v>
      </c>
      <c r="F91" s="10">
        <f>Data_File!L35</f>
        <v>13.73263888888889</v>
      </c>
      <c r="G91" s="141">
        <f>Data_File!O35</f>
        <v>72.648401826484</v>
      </c>
      <c r="H91" s="140">
        <f t="shared" si="7"/>
        <v>48.82068164610915</v>
      </c>
      <c r="I91" s="10">
        <f t="shared" si="8"/>
        <v>33.584562854324666</v>
      </c>
      <c r="J91" s="141">
        <f t="shared" si="8"/>
        <v>71.26971599470308</v>
      </c>
    </row>
    <row r="92" spans="1:10" ht="12.75">
      <c r="A92" s="11"/>
      <c r="D92" s="14"/>
      <c r="E92" s="5"/>
      <c r="F92" s="5"/>
      <c r="G92" s="5"/>
      <c r="I92" s="21"/>
      <c r="J92" s="21"/>
    </row>
    <row r="93" spans="2:10" ht="12.75">
      <c r="B93" t="s">
        <v>67</v>
      </c>
      <c r="E93" s="4">
        <f>E44</f>
        <v>128.2</v>
      </c>
      <c r="F93" s="4">
        <f>E93-G93</f>
        <v>62.97369447795084</v>
      </c>
      <c r="G93" s="4">
        <f>E93/(1+J66/100)</f>
        <v>65.22630552204915</v>
      </c>
      <c r="I93" s="176"/>
      <c r="J93" s="176"/>
    </row>
    <row r="94" spans="2:7" ht="12.75">
      <c r="B94" t="s">
        <v>68</v>
      </c>
      <c r="E94" s="4">
        <f>E95-E93</f>
        <v>294.9023102310231</v>
      </c>
      <c r="F94" s="4">
        <f>F95-F93</f>
        <v>33.169350526554254</v>
      </c>
      <c r="G94" s="4">
        <f>G95-G93</f>
        <v>311.80436223546036</v>
      </c>
    </row>
    <row r="95" spans="2:10" ht="12.75">
      <c r="B95" t="s">
        <v>69</v>
      </c>
      <c r="E95" s="4">
        <f>E93/E99*100</f>
        <v>423.10231023102307</v>
      </c>
      <c r="F95" s="4">
        <f>F93/F99*100</f>
        <v>96.1430450045051</v>
      </c>
      <c r="G95" s="4">
        <f>G93/G99*100</f>
        <v>377.0306677575095</v>
      </c>
      <c r="I95" s="3"/>
      <c r="J95" s="1"/>
    </row>
    <row r="96" spans="2:10" ht="12.75">
      <c r="B96" t="s">
        <v>70</v>
      </c>
      <c r="E96" s="4">
        <f>J60</f>
        <v>337.21254125412537</v>
      </c>
      <c r="F96" s="4">
        <f>F93/$D$66+F94</f>
        <v>53.95274804402978</v>
      </c>
      <c r="G96" s="4">
        <f>G93/$D$66+G94</f>
        <v>333.33119574108713</v>
      </c>
      <c r="I96" s="3"/>
      <c r="J96" s="1"/>
    </row>
    <row r="97" spans="2:10" ht="12.75">
      <c r="B97" t="s">
        <v>71</v>
      </c>
      <c r="E97" s="1">
        <f>E95/E96</f>
        <v>1.2547051442910917</v>
      </c>
      <c r="F97" s="1">
        <f>F95/F96</f>
        <v>1.7819860616931809</v>
      </c>
      <c r="G97" s="1">
        <f>G95/G96</f>
        <v>1.1310992567595313</v>
      </c>
      <c r="I97" s="3"/>
      <c r="J97" s="1"/>
    </row>
    <row r="98" spans="2:10" ht="12.75">
      <c r="B98" t="s">
        <v>72</v>
      </c>
      <c r="E98" s="5">
        <f>(E99/100/$D$66)/(E99/100/$D$66+(1-E99/100))*100</f>
        <v>12.547051442910917</v>
      </c>
      <c r="F98" s="5">
        <f>(F99/100/$D$66)/(F99/100/$D$66+(1-F99/100))*100</f>
        <v>38.52148087158527</v>
      </c>
      <c r="G98" s="5">
        <f>(G99/100/$D$66)/(G99/100/$D$66+(1-G99/100))*100</f>
        <v>6.458091465986763</v>
      </c>
      <c r="I98" s="3"/>
      <c r="J98" s="1"/>
    </row>
    <row r="99" spans="2:7" ht="12.75">
      <c r="B99" s="8" t="s">
        <v>73</v>
      </c>
      <c r="C99" s="8"/>
      <c r="D99" s="8"/>
      <c r="E99" s="9">
        <f>Data_File!I39</f>
        <v>30.3</v>
      </c>
      <c r="F99" s="9">
        <f>Data_File!L39</f>
        <v>65.5</v>
      </c>
      <c r="G99" s="9">
        <f>Data_File!O39</f>
        <v>17.3</v>
      </c>
    </row>
  </sheetData>
  <sheetProtection password="CD50" sheet="1" objects="1" scenarios="1"/>
  <mergeCells count="11">
    <mergeCell ref="I93:J93"/>
    <mergeCell ref="E3:G3"/>
    <mergeCell ref="H69:J69"/>
    <mergeCell ref="I18:J18"/>
    <mergeCell ref="I44:J44"/>
    <mergeCell ref="E4:G4"/>
    <mergeCell ref="E53:G53"/>
    <mergeCell ref="E54:G54"/>
    <mergeCell ref="E69:G69"/>
    <mergeCell ref="E68:J68"/>
    <mergeCell ref="E18:G18"/>
  </mergeCells>
  <printOptions horizontalCentered="1"/>
  <pageMargins left="0.25" right="0.25" top="1" bottom="1.5" header="0" footer="0.5"/>
  <pageSetup horizontalDpi="300" verticalDpi="300" orientation="portrait" scale="95" r:id="rId1"/>
  <headerFooter alignWithMargins="0">
    <oddFooter>&amp;L&amp;"Arial,Bold"&amp;8Moly-Cop Tools&amp;"Arial,Regular" / &amp;F&amp;C&amp;8Page &amp;P&amp;R&amp;8&amp;D   /   &amp;T</oddFooter>
  </headerFooter>
  <rowBreaks count="1" manualBreakCount="1">
    <brk id="50"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sheetPr codeName="Sheet6"/>
  <dimension ref="A1:AI53"/>
  <sheetViews>
    <sheetView workbookViewId="0" topLeftCell="A19">
      <selection activeCell="J49" sqref="J49"/>
    </sheetView>
  </sheetViews>
  <sheetFormatPr defaultColWidth="9.140625" defaultRowHeight="12.75"/>
  <cols>
    <col min="1" max="1" width="9.7109375" style="0" customWidth="1"/>
    <col min="7" max="7" width="20.7109375" style="0" customWidth="1"/>
    <col min="11" max="11" width="1.7109375" style="0" customWidth="1"/>
    <col min="12" max="14" width="10.7109375" style="0" customWidth="1"/>
    <col min="15" max="15" width="1.7109375" style="0" customWidth="1"/>
    <col min="16" max="18" width="10.7109375" style="0" customWidth="1"/>
    <col min="19" max="19" width="1.7109375" style="0" customWidth="1"/>
    <col min="23" max="23" width="1.7109375" style="0" customWidth="1"/>
    <col min="27" max="27" width="1.7109375" style="0" customWidth="1"/>
  </cols>
  <sheetData>
    <row r="1" spans="1:30" ht="12.75">
      <c r="A1" s="117" t="s">
        <v>35</v>
      </c>
      <c r="B1" s="117"/>
      <c r="C1" s="117"/>
      <c r="D1" s="117"/>
      <c r="E1" s="116">
        <f>Data_File!C11</f>
        <v>4</v>
      </c>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1:30" ht="12.75">
      <c r="A2" s="117" t="s">
        <v>28</v>
      </c>
      <c r="B2" s="117"/>
      <c r="C2" s="117"/>
      <c r="D2" s="117"/>
      <c r="E2" s="11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1:30" ht="12.75">
      <c r="A3" s="118" t="s">
        <v>23</v>
      </c>
      <c r="B3" s="118" t="s">
        <v>24</v>
      </c>
      <c r="C3" s="118" t="s">
        <v>25</v>
      </c>
      <c r="D3" s="118" t="s">
        <v>26</v>
      </c>
      <c r="E3" s="118" t="s">
        <v>27</v>
      </c>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row>
    <row r="4" spans="1:30" ht="12.75">
      <c r="A4" s="117">
        <f>Data_File!D11</f>
        <v>15</v>
      </c>
      <c r="B4" s="117">
        <f>Data_File!E11</f>
        <v>45</v>
      </c>
      <c r="C4" s="117">
        <f>Data_File!F11</f>
        <v>4</v>
      </c>
      <c r="D4" s="117">
        <f>Data_File!G11</f>
        <v>7.5</v>
      </c>
      <c r="E4" s="117">
        <f>Data_File!H11</f>
        <v>3.5</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row>
    <row r="5" spans="1:30" ht="12.75">
      <c r="A5" s="117" t="s">
        <v>17</v>
      </c>
      <c r="B5" s="117"/>
      <c r="C5" s="117"/>
      <c r="D5" s="117"/>
      <c r="E5" s="117"/>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row>
    <row r="6" spans="1:30" ht="12.75">
      <c r="A6" s="119" t="s">
        <v>18</v>
      </c>
      <c r="B6" s="118" t="s">
        <v>19</v>
      </c>
      <c r="C6" s="118" t="s">
        <v>20</v>
      </c>
      <c r="D6" s="118" t="s">
        <v>21</v>
      </c>
      <c r="E6" s="119" t="s">
        <v>22</v>
      </c>
      <c r="F6" s="118"/>
      <c r="G6" s="118"/>
      <c r="H6" s="117" t="s">
        <v>5</v>
      </c>
      <c r="I6" s="117" t="s">
        <v>5</v>
      </c>
      <c r="J6" s="117" t="s">
        <v>5</v>
      </c>
      <c r="K6" s="118"/>
      <c r="L6" s="118"/>
      <c r="M6" s="118"/>
      <c r="N6" s="118"/>
      <c r="O6" s="118"/>
      <c r="P6" s="118"/>
      <c r="Q6" s="118"/>
      <c r="R6" s="118"/>
      <c r="S6" s="118"/>
      <c r="T6" s="118"/>
      <c r="U6" s="118"/>
      <c r="V6" s="118"/>
      <c r="W6" s="118"/>
      <c r="X6" s="118"/>
      <c r="Y6" s="118"/>
      <c r="Z6" s="118"/>
      <c r="AA6" s="118"/>
      <c r="AB6" s="118"/>
      <c r="AC6" s="118"/>
      <c r="AD6" s="118"/>
    </row>
    <row r="7" spans="1:30" ht="12.75">
      <c r="A7" s="117">
        <f>E10/(($H$11^1.46)*EXP(-7.63*$H$14/100+10.79*$H$14*$H$14/10000)/(($A$4^0.2)*($B$4^0.15)*($C$4^0.51)*($D$4^1.65)*($E$4^0.53)))</f>
        <v>48.26134935990887</v>
      </c>
      <c r="B7" s="117">
        <f>E12/(($A$4^0.44)*($C$4^0.58)*($D$4^1.91)*EXP(11.12*$H$14/100)/(($E$4^0.8)*($B$4^0.37)*($H$11^0.44)*($H$12-1)^0.5))</f>
        <v>6.612419574035476</v>
      </c>
      <c r="C7" s="117">
        <f>E9/(B4^0.19*(E4/D4)^2.64*EXP(-4.33*H14/100+8.77*H14*H14/10000)/(E10^0.54*A4^0.38))</f>
        <v>46.47076083467528</v>
      </c>
      <c r="D7" s="117">
        <f>LN(E16/(A4*A4*B4/H11)^0.15)+1.58*E9/(E9+1)</f>
        <v>0.09876028661580011</v>
      </c>
      <c r="E7" s="117">
        <f>E14/E13</f>
        <v>1.4995563178823996</v>
      </c>
      <c r="F7" s="118"/>
      <c r="G7" s="118"/>
      <c r="H7" s="117" t="s">
        <v>4</v>
      </c>
      <c r="I7" s="117" t="s">
        <v>6</v>
      </c>
      <c r="J7" s="117" t="s">
        <v>7</v>
      </c>
      <c r="K7" s="118"/>
      <c r="L7" s="118"/>
      <c r="M7" s="118"/>
      <c r="N7" s="118"/>
      <c r="O7" s="118"/>
      <c r="P7" s="118"/>
      <c r="Q7" s="118"/>
      <c r="R7" s="118"/>
      <c r="S7" s="118"/>
      <c r="T7" s="118"/>
      <c r="U7" s="118"/>
      <c r="V7" s="118"/>
      <c r="W7" s="118"/>
      <c r="X7" s="118"/>
      <c r="Y7" s="118"/>
      <c r="Z7" s="118"/>
      <c r="AA7" s="118"/>
      <c r="AB7" s="118"/>
      <c r="AC7" s="118"/>
      <c r="AD7" s="118"/>
    </row>
    <row r="8" spans="1:30" ht="12.75">
      <c r="A8" s="117" t="s">
        <v>30</v>
      </c>
      <c r="B8" s="117"/>
      <c r="C8" s="117"/>
      <c r="D8" s="117"/>
      <c r="E8" s="117">
        <f>I8/J8</f>
        <v>1.4734089865917002</v>
      </c>
      <c r="F8" s="118"/>
      <c r="G8" s="118" t="s">
        <v>10</v>
      </c>
      <c r="H8" s="120">
        <f>Data_File!V37/E1</f>
        <v>32.05</v>
      </c>
      <c r="I8" s="120">
        <f>H8-J8</f>
        <v>19.092175324120515</v>
      </c>
      <c r="J8" s="117">
        <f>J43/E1</f>
        <v>12.957824675879483</v>
      </c>
      <c r="K8" s="118"/>
      <c r="L8" s="118"/>
      <c r="M8" s="118"/>
      <c r="N8" s="118"/>
      <c r="O8" s="118"/>
      <c r="P8" s="118"/>
      <c r="Q8" s="118"/>
      <c r="R8" s="118"/>
      <c r="S8" s="118"/>
      <c r="T8" s="118"/>
      <c r="U8" s="118"/>
      <c r="V8" s="118"/>
      <c r="W8" s="118"/>
      <c r="X8" s="118"/>
      <c r="Y8" s="118"/>
      <c r="Z8" s="118"/>
      <c r="AA8" s="118"/>
      <c r="AB8" s="118"/>
      <c r="AC8" s="118"/>
      <c r="AD8" s="118"/>
    </row>
    <row r="9" spans="1:30" ht="12.75">
      <c r="A9" s="117" t="s">
        <v>29</v>
      </c>
      <c r="B9" s="117"/>
      <c r="C9" s="117"/>
      <c r="D9" s="117"/>
      <c r="E9" s="117">
        <f>I11/J11</f>
        <v>0.38158958834102663</v>
      </c>
      <c r="F9" s="118"/>
      <c r="G9" s="118" t="s">
        <v>12</v>
      </c>
      <c r="H9" s="120">
        <f>H10-H8</f>
        <v>78.97353726463577</v>
      </c>
      <c r="I9" s="120">
        <f>H9-J9</f>
        <v>18.43261084162242</v>
      </c>
      <c r="J9" s="120">
        <f>J10-J8</f>
        <v>60.540926423013346</v>
      </c>
      <c r="K9" s="118"/>
      <c r="L9" s="118"/>
      <c r="M9" s="118"/>
      <c r="N9" s="118"/>
      <c r="O9" s="118"/>
      <c r="P9" s="118"/>
      <c r="Q9" s="118"/>
      <c r="R9" s="118"/>
      <c r="S9" s="118"/>
      <c r="T9" s="118"/>
      <c r="U9" s="118"/>
      <c r="V9" s="118"/>
      <c r="W9" s="118"/>
      <c r="X9" s="118"/>
      <c r="Y9" s="118"/>
      <c r="Z9" s="118"/>
      <c r="AA9" s="118"/>
      <c r="AB9" s="118"/>
      <c r="AC9" s="118"/>
      <c r="AD9" s="118"/>
    </row>
    <row r="10" spans="1:30" ht="12.75">
      <c r="A10" s="117" t="s">
        <v>34</v>
      </c>
      <c r="B10" s="117"/>
      <c r="C10" s="117"/>
      <c r="D10" s="117"/>
      <c r="E10" s="117">
        <f>E11/H13/0.433</f>
        <v>48.432991264243334</v>
      </c>
      <c r="F10" s="118"/>
      <c r="G10" s="118" t="s">
        <v>9</v>
      </c>
      <c r="H10" s="117">
        <f>H8/H15*100</f>
        <v>111.02353726463576</v>
      </c>
      <c r="I10" s="117">
        <f>I8+I9</f>
        <v>37.52478616574294</v>
      </c>
      <c r="J10" s="117">
        <f>J8/J15*100</f>
        <v>73.49875109889282</v>
      </c>
      <c r="K10" s="118"/>
      <c r="L10" s="118"/>
      <c r="M10" s="118"/>
      <c r="N10" s="118"/>
      <c r="O10" s="118"/>
      <c r="P10" s="118"/>
      <c r="Q10" s="118"/>
      <c r="R10" s="118"/>
      <c r="S10" s="118"/>
      <c r="T10" s="118"/>
      <c r="U10" s="118"/>
      <c r="V10" s="118"/>
      <c r="W10" s="118"/>
      <c r="X10" s="118"/>
      <c r="Y10" s="118"/>
      <c r="Z10" s="118"/>
      <c r="AA10" s="118"/>
      <c r="AB10" s="118"/>
      <c r="AC10" s="118"/>
      <c r="AD10" s="118"/>
    </row>
    <row r="11" spans="1:30" ht="12.75">
      <c r="A11" s="117" t="s">
        <v>31</v>
      </c>
      <c r="B11" s="117"/>
      <c r="C11" s="117"/>
      <c r="D11" s="117"/>
      <c r="E11" s="120">
        <f>Data_File!N11</f>
        <v>26</v>
      </c>
      <c r="F11" s="118"/>
      <c r="G11" s="118" t="s">
        <v>11</v>
      </c>
      <c r="H11" s="117">
        <f>H8/H12+H9</f>
        <v>89.55109502041134</v>
      </c>
      <c r="I11" s="117">
        <f>I8/I12+I9</f>
        <v>24.733658803378365</v>
      </c>
      <c r="J11" s="117">
        <f>J8/J12+J9</f>
        <v>64.81743621703298</v>
      </c>
      <c r="K11" s="118"/>
      <c r="L11" s="118"/>
      <c r="M11" s="118"/>
      <c r="N11" s="118"/>
      <c r="O11" s="118"/>
      <c r="P11" s="118"/>
      <c r="Q11" s="118"/>
      <c r="R11" s="118"/>
      <c r="S11" s="118"/>
      <c r="T11" s="118"/>
      <c r="U11" s="118"/>
      <c r="V11" s="118"/>
      <c r="W11" s="118"/>
      <c r="X11" s="118"/>
      <c r="Y11" s="118"/>
      <c r="Z11" s="118"/>
      <c r="AA11" s="118"/>
      <c r="AB11" s="118"/>
      <c r="AC11" s="118"/>
      <c r="AD11" s="118"/>
    </row>
    <row r="12" spans="1:30" ht="12.75">
      <c r="A12" s="117" t="s">
        <v>32</v>
      </c>
      <c r="B12" s="117"/>
      <c r="C12" s="117"/>
      <c r="D12" s="117"/>
      <c r="E12" s="117">
        <f>Control_Panel!E20</f>
        <v>74</v>
      </c>
      <c r="F12" s="118"/>
      <c r="G12" s="118" t="s">
        <v>15</v>
      </c>
      <c r="H12" s="117">
        <f>Data_File!$N8</f>
        <v>3.03</v>
      </c>
      <c r="I12" s="117">
        <f>Data_File!$N8</f>
        <v>3.03</v>
      </c>
      <c r="J12" s="117">
        <f>Data_File!$N8</f>
        <v>3.03</v>
      </c>
      <c r="K12" s="118"/>
      <c r="L12" s="118"/>
      <c r="M12" s="118"/>
      <c r="N12" s="118"/>
      <c r="O12" s="118"/>
      <c r="P12" s="118"/>
      <c r="Q12" s="118"/>
      <c r="R12" s="118"/>
      <c r="S12" s="118"/>
      <c r="T12" s="118"/>
      <c r="U12" s="118"/>
      <c r="V12" s="118"/>
      <c r="W12" s="118"/>
      <c r="X12" s="118"/>
      <c r="Y12" s="118"/>
      <c r="Z12" s="118"/>
      <c r="AA12" s="118"/>
      <c r="AB12" s="118"/>
      <c r="AC12" s="118"/>
      <c r="AD12" s="118"/>
    </row>
    <row r="13" spans="1:30" ht="12.75">
      <c r="A13" s="117" t="s">
        <v>33</v>
      </c>
      <c r="B13" s="117"/>
      <c r="C13" s="117"/>
      <c r="D13" s="117"/>
      <c r="E13" s="117">
        <f>I9/H9</f>
        <v>0.23340237097213723</v>
      </c>
      <c r="F13" s="118"/>
      <c r="G13" s="118" t="s">
        <v>16</v>
      </c>
      <c r="H13" s="117">
        <f>H10/H11</f>
        <v>1.2397786675788858</v>
      </c>
      <c r="I13" s="117">
        <f>I10/I11</f>
        <v>1.5171546783291696</v>
      </c>
      <c r="J13" s="117">
        <f>J10/J11</f>
        <v>1.1339348698210088</v>
      </c>
      <c r="K13" s="118"/>
      <c r="L13" s="118"/>
      <c r="M13" s="118"/>
      <c r="N13" s="118"/>
      <c r="O13" s="118"/>
      <c r="P13" s="118"/>
      <c r="Q13" s="118"/>
      <c r="R13" s="118"/>
      <c r="S13" s="118"/>
      <c r="T13" s="118"/>
      <c r="U13" s="118"/>
      <c r="V13" s="118"/>
      <c r="W13" s="118"/>
      <c r="X13" s="118"/>
      <c r="Y13" s="118"/>
      <c r="Z13" s="118"/>
      <c r="AA13" s="118"/>
      <c r="AB13" s="118"/>
      <c r="AC13" s="118"/>
      <c r="AD13" s="118"/>
    </row>
    <row r="14" spans="1:30" ht="12.75">
      <c r="A14" s="117" t="s">
        <v>87</v>
      </c>
      <c r="B14" s="117"/>
      <c r="C14" s="117"/>
      <c r="D14" s="117"/>
      <c r="E14" s="117">
        <f>Control_Panel!C20</f>
        <v>0.35</v>
      </c>
      <c r="F14" s="118"/>
      <c r="G14" s="118" t="s">
        <v>13</v>
      </c>
      <c r="H14" s="117">
        <f>H8/H12/H11*100</f>
        <v>11.811757023590431</v>
      </c>
      <c r="I14" s="117">
        <f>I8/I12/I11*100</f>
        <v>25.475599917693074</v>
      </c>
      <c r="J14" s="117">
        <f>J8/J12/J11*100</f>
        <v>6.597776838473339</v>
      </c>
      <c r="K14" s="118"/>
      <c r="L14" s="118"/>
      <c r="M14" s="118"/>
      <c r="N14" s="118"/>
      <c r="O14" s="118"/>
      <c r="P14" s="118"/>
      <c r="Q14" s="118"/>
      <c r="R14" s="118"/>
      <c r="S14" s="118"/>
      <c r="T14" s="118"/>
      <c r="U14" s="118"/>
      <c r="V14" s="118"/>
      <c r="W14" s="118"/>
      <c r="X14" s="118"/>
      <c r="Y14" s="118"/>
      <c r="Z14" s="118"/>
      <c r="AA14" s="118"/>
      <c r="AB14" s="118"/>
      <c r="AC14" s="118"/>
      <c r="AD14" s="118"/>
    </row>
    <row r="15" spans="1:30" ht="12.75">
      <c r="A15" s="117" t="s">
        <v>88</v>
      </c>
      <c r="B15" s="117"/>
      <c r="C15" s="117"/>
      <c r="D15" s="117"/>
      <c r="E15" s="117">
        <f>Control_Panel!D20</f>
        <v>3.7470911730850124E-05</v>
      </c>
      <c r="F15" s="118"/>
      <c r="G15" s="118" t="s">
        <v>14</v>
      </c>
      <c r="H15" s="120">
        <f>Data_File!X39</f>
        <v>28.867752541162147</v>
      </c>
      <c r="I15" s="120">
        <f>I8/I10*100</f>
        <v>50.87883842906508</v>
      </c>
      <c r="J15" s="120">
        <f>Data_File!AB39</f>
        <v>17.629993002799033</v>
      </c>
      <c r="K15" s="118"/>
      <c r="L15" s="118"/>
      <c r="M15" s="118"/>
      <c r="N15" s="118"/>
      <c r="O15" s="118"/>
      <c r="P15" s="118"/>
      <c r="Q15" s="118"/>
      <c r="R15" s="118"/>
      <c r="S15" s="118"/>
      <c r="T15" s="118"/>
      <c r="U15" s="118"/>
      <c r="V15" s="118"/>
      <c r="W15" s="118"/>
      <c r="X15" s="118"/>
      <c r="Y15" s="118"/>
      <c r="Z15" s="118"/>
      <c r="AA15" s="118"/>
      <c r="AB15" s="118"/>
      <c r="AC15" s="118"/>
      <c r="AD15" s="118"/>
    </row>
    <row r="16" spans="1:30" ht="12.75">
      <c r="A16" s="117" t="s">
        <v>38</v>
      </c>
      <c r="B16" s="117"/>
      <c r="C16" s="117"/>
      <c r="D16" s="117"/>
      <c r="E16" s="117">
        <f>Control_Panel!F20</f>
        <v>1.45</v>
      </c>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row>
    <row r="17" spans="1:30" ht="12.75">
      <c r="A17" s="118"/>
      <c r="B17" s="118"/>
      <c r="C17" s="118"/>
      <c r="D17" s="118"/>
      <c r="E17" s="118"/>
      <c r="F17" s="118"/>
      <c r="G17" s="118"/>
      <c r="H17" s="322" t="s">
        <v>93</v>
      </c>
      <c r="I17" s="323"/>
      <c r="J17" s="324"/>
      <c r="K17" s="118"/>
      <c r="L17" s="322" t="s">
        <v>101</v>
      </c>
      <c r="M17" s="323"/>
      <c r="N17" s="324"/>
      <c r="O17" s="118"/>
      <c r="P17" s="322" t="s">
        <v>100</v>
      </c>
      <c r="Q17" s="323"/>
      <c r="R17" s="324"/>
      <c r="S17" s="118"/>
      <c r="T17" s="322" t="s">
        <v>99</v>
      </c>
      <c r="U17" s="323"/>
      <c r="V17" s="324"/>
      <c r="W17" s="118"/>
      <c r="X17" s="322" t="s">
        <v>94</v>
      </c>
      <c r="Y17" s="323"/>
      <c r="Z17" s="324"/>
      <c r="AA17" s="118"/>
      <c r="AB17" s="118"/>
      <c r="AC17" s="118"/>
      <c r="AD17" s="118"/>
    </row>
    <row r="18" spans="1:30" ht="12.75">
      <c r="A18" s="118"/>
      <c r="B18" s="118" t="s">
        <v>1</v>
      </c>
      <c r="C18" s="118" t="s">
        <v>3</v>
      </c>
      <c r="D18" s="118"/>
      <c r="E18" s="118" t="s">
        <v>36</v>
      </c>
      <c r="F18" s="118"/>
      <c r="G18" s="118"/>
      <c r="H18" s="117" t="s">
        <v>5</v>
      </c>
      <c r="I18" s="117" t="s">
        <v>5</v>
      </c>
      <c r="J18" s="117" t="s">
        <v>5</v>
      </c>
      <c r="K18" s="118"/>
      <c r="L18" s="117" t="s">
        <v>5</v>
      </c>
      <c r="M18" s="117" t="s">
        <v>5</v>
      </c>
      <c r="N18" s="117" t="s">
        <v>5</v>
      </c>
      <c r="O18" s="118"/>
      <c r="P18" s="117" t="s">
        <v>5</v>
      </c>
      <c r="Q18" s="117" t="s">
        <v>5</v>
      </c>
      <c r="R18" s="117" t="s">
        <v>5</v>
      </c>
      <c r="S18" s="118"/>
      <c r="T18" s="117" t="s">
        <v>5</v>
      </c>
      <c r="U18" s="117" t="s">
        <v>5</v>
      </c>
      <c r="V18" s="117" t="s">
        <v>5</v>
      </c>
      <c r="W18" s="118"/>
      <c r="X18" s="117" t="s">
        <v>5</v>
      </c>
      <c r="Y18" s="117" t="s">
        <v>5</v>
      </c>
      <c r="Z18" s="117" t="s">
        <v>5</v>
      </c>
      <c r="AA18" s="118"/>
      <c r="AB18" s="118"/>
      <c r="AC18" s="118"/>
      <c r="AD18" s="118"/>
    </row>
    <row r="19" spans="1:30" ht="12.75">
      <c r="A19" s="118"/>
      <c r="B19" s="118"/>
      <c r="C19" s="118"/>
      <c r="D19" s="118"/>
      <c r="E19" s="118" t="s">
        <v>37</v>
      </c>
      <c r="F19" s="118"/>
      <c r="G19" s="118"/>
      <c r="H19" s="117" t="s">
        <v>4</v>
      </c>
      <c r="I19" s="117" t="s">
        <v>6</v>
      </c>
      <c r="J19" s="117" t="s">
        <v>7</v>
      </c>
      <c r="K19" s="118"/>
      <c r="L19" s="117" t="s">
        <v>4</v>
      </c>
      <c r="M19" s="117" t="s">
        <v>6</v>
      </c>
      <c r="N19" s="117" t="s">
        <v>7</v>
      </c>
      <c r="O19" s="118"/>
      <c r="P19" s="117" t="s">
        <v>4</v>
      </c>
      <c r="Q19" s="117" t="s">
        <v>6</v>
      </c>
      <c r="R19" s="117" t="s">
        <v>7</v>
      </c>
      <c r="S19" s="118"/>
      <c r="T19" s="117" t="s">
        <v>4</v>
      </c>
      <c r="U19" s="117" t="s">
        <v>6</v>
      </c>
      <c r="V19" s="117" t="s">
        <v>7</v>
      </c>
      <c r="W19" s="118"/>
      <c r="X19" s="117" t="s">
        <v>4</v>
      </c>
      <c r="Y19" s="117" t="s">
        <v>6</v>
      </c>
      <c r="Z19" s="117" t="s">
        <v>7</v>
      </c>
      <c r="AA19" s="118"/>
      <c r="AB19" s="118"/>
      <c r="AC19" s="118"/>
      <c r="AD19" s="118"/>
    </row>
    <row r="20" spans="1:30" ht="12.75">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f>Data_File!I40</f>
        <v>1</v>
      </c>
      <c r="Y20" s="118">
        <f>Data_File!L40</f>
        <v>0.23</v>
      </c>
      <c r="Z20" s="118">
        <f>Data_File!O40</f>
        <v>0.77</v>
      </c>
      <c r="AA20" s="118"/>
      <c r="AB20" s="118"/>
      <c r="AC20" s="118"/>
      <c r="AD20" s="118"/>
    </row>
    <row r="21" spans="1:30" ht="12.75">
      <c r="A21" s="117">
        <v>1</v>
      </c>
      <c r="B21" s="118">
        <f>Data_File!E16</f>
        <v>0</v>
      </c>
      <c r="C21" s="118"/>
      <c r="D21" s="118"/>
      <c r="E21" s="118"/>
      <c r="F21" s="118"/>
      <c r="G21" s="118"/>
      <c r="H21" s="118"/>
      <c r="I21" s="118"/>
      <c r="J21" s="118"/>
      <c r="K21" s="118"/>
      <c r="L21" s="118"/>
      <c r="M21" s="118"/>
      <c r="N21" s="118"/>
      <c r="O21" s="118"/>
      <c r="P21" s="121">
        <f aca="true" t="shared" si="0" ref="P21:P39">P22+L22</f>
        <v>100</v>
      </c>
      <c r="Q21" s="121">
        <f aca="true" t="shared" si="1" ref="Q21:Q39">Q22+M22</f>
        <v>100</v>
      </c>
      <c r="R21" s="121">
        <f aca="true" t="shared" si="2" ref="R21:R39">R22+N22</f>
        <v>99.99999999999997</v>
      </c>
      <c r="S21" s="118"/>
      <c r="T21" s="121">
        <f>Data_File!X16</f>
        <v>100</v>
      </c>
      <c r="U21" s="121">
        <f>Data_File!L16</f>
        <v>100</v>
      </c>
      <c r="V21" s="121">
        <f>Data_File!O16</f>
        <v>100</v>
      </c>
      <c r="W21" s="118"/>
      <c r="X21" s="118"/>
      <c r="Y21" s="118"/>
      <c r="Z21" s="118"/>
      <c r="AA21" s="118"/>
      <c r="AB21" s="118"/>
      <c r="AC21" s="118"/>
      <c r="AD21" s="118"/>
    </row>
    <row r="22" spans="1:30" ht="12.75">
      <c r="A22" s="117">
        <v>2</v>
      </c>
      <c r="B22" s="118">
        <f>Data_File!E17</f>
        <v>0</v>
      </c>
      <c r="C22" s="118">
        <f>Data_File!F17</f>
        <v>0</v>
      </c>
      <c r="D22" s="118"/>
      <c r="E22" s="118">
        <f>$E$14+(1-$E$14-$E$15)*(1-EXP(-0.693*(C22/$E$12)^$E$16))</f>
        <v>0.35</v>
      </c>
      <c r="F22" s="118"/>
      <c r="G22" s="118"/>
      <c r="H22" s="121">
        <f>Data_File!V17</f>
        <v>128.2</v>
      </c>
      <c r="I22" s="118">
        <f>H22*E22</f>
        <v>44.86999999999999</v>
      </c>
      <c r="J22" s="121">
        <f>H22-I22</f>
        <v>83.33</v>
      </c>
      <c r="K22" s="118"/>
      <c r="L22" s="121">
        <f aca="true" t="shared" si="3" ref="L22:L41">H22/H$43*100</f>
        <v>100</v>
      </c>
      <c r="M22" s="121">
        <f aca="true" t="shared" si="4" ref="M22:M41">I22/I$43*100</f>
        <v>58.75443635711917</v>
      </c>
      <c r="N22" s="121">
        <f aca="true" t="shared" si="5" ref="N22:N41">J22/J$43*100</f>
        <v>160.77158412846052</v>
      </c>
      <c r="O22" s="118"/>
      <c r="P22" s="121">
        <f t="shared" si="0"/>
        <v>0</v>
      </c>
      <c r="Q22" s="121">
        <f t="shared" si="1"/>
        <v>41.24556364288083</v>
      </c>
      <c r="R22" s="121">
        <f t="shared" si="2"/>
        <v>-60.771584128460546</v>
      </c>
      <c r="S22" s="118"/>
      <c r="T22" s="121">
        <f>Data_File!X17</f>
        <v>0</v>
      </c>
      <c r="U22" s="121">
        <f>Data_File!L17</f>
        <v>0</v>
      </c>
      <c r="V22" s="121">
        <f>Data_File!O17</f>
        <v>0</v>
      </c>
      <c r="W22" s="118"/>
      <c r="X22" s="122">
        <v>0</v>
      </c>
      <c r="Y22" s="122" t="e">
        <f>$Y$20*((Q22-U22)/U22)^2</f>
        <v>#DIV/0!</v>
      </c>
      <c r="Z22" s="122" t="e">
        <f>$Z$20*((R22-V22)/V22)^2</f>
        <v>#DIV/0!</v>
      </c>
      <c r="AA22" s="118"/>
      <c r="AB22" s="118"/>
      <c r="AC22" s="118"/>
      <c r="AD22" s="118"/>
    </row>
    <row r="23" spans="1:30" ht="12.75">
      <c r="A23" s="117">
        <v>3</v>
      </c>
      <c r="B23" s="118">
        <f>Data_File!E18</f>
        <v>0</v>
      </c>
      <c r="C23" s="118">
        <f>Data_File!F18</f>
        <v>0</v>
      </c>
      <c r="D23" s="118"/>
      <c r="E23" s="118">
        <f aca="true" t="shared" si="6" ref="E23:E41">$E$14+(1-$E$14-$E$15)*(1-EXP(-0.693*(C23/$E$12)^$E$16))</f>
        <v>0.35</v>
      </c>
      <c r="F23" s="118"/>
      <c r="G23" s="118"/>
      <c r="H23" s="121">
        <f>Data_File!V18</f>
        <v>0</v>
      </c>
      <c r="I23" s="118">
        <f aca="true" t="shared" si="7" ref="I23:I41">H23*E23</f>
        <v>0</v>
      </c>
      <c r="J23" s="121">
        <f aca="true" t="shared" si="8" ref="J23:J41">H23-I23</f>
        <v>0</v>
      </c>
      <c r="K23" s="118"/>
      <c r="L23" s="121">
        <f t="shared" si="3"/>
        <v>0</v>
      </c>
      <c r="M23" s="121">
        <f t="shared" si="4"/>
        <v>0</v>
      </c>
      <c r="N23" s="121">
        <f t="shared" si="5"/>
        <v>0</v>
      </c>
      <c r="O23" s="118"/>
      <c r="P23" s="121">
        <f t="shared" si="0"/>
        <v>0</v>
      </c>
      <c r="Q23" s="121">
        <f t="shared" si="1"/>
        <v>41.24556364288083</v>
      </c>
      <c r="R23" s="121">
        <f t="shared" si="2"/>
        <v>-60.771584128460546</v>
      </c>
      <c r="S23" s="118"/>
      <c r="T23" s="121">
        <f>Data_File!X18</f>
        <v>0</v>
      </c>
      <c r="U23" s="121">
        <f>Data_File!L18</f>
        <v>0</v>
      </c>
      <c r="V23" s="121">
        <f>Data_File!O18</f>
        <v>0</v>
      </c>
      <c r="W23" s="118"/>
      <c r="X23" s="122">
        <v>0</v>
      </c>
      <c r="Y23" s="122" t="e">
        <f aca="true" t="shared" si="9" ref="Y23:Y40">$Y$20*((Q23-U23)/U23)^2</f>
        <v>#DIV/0!</v>
      </c>
      <c r="Z23" s="122" t="e">
        <f aca="true" t="shared" si="10" ref="Z23:Z40">$Z$20*((R23-V23)/V23)^2</f>
        <v>#DIV/0!</v>
      </c>
      <c r="AA23" s="118"/>
      <c r="AB23" s="118"/>
      <c r="AC23" s="118"/>
      <c r="AD23" s="118"/>
    </row>
    <row r="24" spans="1:30" ht="12.75">
      <c r="A24" s="117">
        <v>4</v>
      </c>
      <c r="B24" s="118">
        <f>Data_File!E19</f>
        <v>0</v>
      </c>
      <c r="C24" s="118">
        <f>Data_File!F19</f>
        <v>0</v>
      </c>
      <c r="D24" s="118"/>
      <c r="E24" s="118">
        <f t="shared" si="6"/>
        <v>0.35</v>
      </c>
      <c r="F24" s="118"/>
      <c r="G24" s="118"/>
      <c r="H24" s="121">
        <f>Data_File!V19</f>
        <v>0</v>
      </c>
      <c r="I24" s="118">
        <f t="shared" si="7"/>
        <v>0</v>
      </c>
      <c r="J24" s="121">
        <f t="shared" si="8"/>
        <v>0</v>
      </c>
      <c r="K24" s="118"/>
      <c r="L24" s="121">
        <f t="shared" si="3"/>
        <v>0</v>
      </c>
      <c r="M24" s="121">
        <f t="shared" si="4"/>
        <v>0</v>
      </c>
      <c r="N24" s="121">
        <f t="shared" si="5"/>
        <v>0</v>
      </c>
      <c r="O24" s="118"/>
      <c r="P24" s="121">
        <f t="shared" si="0"/>
        <v>0</v>
      </c>
      <c r="Q24" s="121">
        <f t="shared" si="1"/>
        <v>41.24556364288083</v>
      </c>
      <c r="R24" s="121">
        <f t="shared" si="2"/>
        <v>-60.771584128460546</v>
      </c>
      <c r="S24" s="118"/>
      <c r="T24" s="121">
        <f>Data_File!X19</f>
        <v>0</v>
      </c>
      <c r="U24" s="121">
        <f>Data_File!L19</f>
        <v>0</v>
      </c>
      <c r="V24" s="121">
        <f>Data_File!O19</f>
        <v>0</v>
      </c>
      <c r="W24" s="118"/>
      <c r="X24" s="122">
        <v>0</v>
      </c>
      <c r="Y24" s="122" t="e">
        <f t="shared" si="9"/>
        <v>#DIV/0!</v>
      </c>
      <c r="Z24" s="122" t="e">
        <f t="shared" si="10"/>
        <v>#DIV/0!</v>
      </c>
      <c r="AA24" s="118"/>
      <c r="AB24" s="118"/>
      <c r="AC24" s="118"/>
      <c r="AD24" s="118"/>
    </row>
    <row r="25" spans="1:30" ht="12.75">
      <c r="A25" s="117">
        <v>5</v>
      </c>
      <c r="B25" s="118">
        <f>Data_File!E20</f>
        <v>0</v>
      </c>
      <c r="C25" s="118">
        <f>Data_File!F20</f>
        <v>0</v>
      </c>
      <c r="D25" s="118"/>
      <c r="E25" s="118">
        <f t="shared" si="6"/>
        <v>0.35</v>
      </c>
      <c r="F25" s="118"/>
      <c r="G25" s="118"/>
      <c r="H25" s="121">
        <f>Data_File!V20</f>
        <v>0</v>
      </c>
      <c r="I25" s="118">
        <f t="shared" si="7"/>
        <v>0</v>
      </c>
      <c r="J25" s="121">
        <f t="shared" si="8"/>
        <v>0</v>
      </c>
      <c r="K25" s="118"/>
      <c r="L25" s="121">
        <f t="shared" si="3"/>
        <v>0</v>
      </c>
      <c r="M25" s="121">
        <f t="shared" si="4"/>
        <v>0</v>
      </c>
      <c r="N25" s="121">
        <f t="shared" si="5"/>
        <v>0</v>
      </c>
      <c r="O25" s="118"/>
      <c r="P25" s="121">
        <f t="shared" si="0"/>
        <v>0</v>
      </c>
      <c r="Q25" s="121">
        <f t="shared" si="1"/>
        <v>41.24556364288083</v>
      </c>
      <c r="R25" s="121">
        <f t="shared" si="2"/>
        <v>-60.771584128460546</v>
      </c>
      <c r="S25" s="118"/>
      <c r="T25" s="121">
        <f>Data_File!X20</f>
        <v>0</v>
      </c>
      <c r="U25" s="121">
        <f>Data_File!L20</f>
        <v>0</v>
      </c>
      <c r="V25" s="121">
        <f>Data_File!O20</f>
        <v>0</v>
      </c>
      <c r="W25" s="118"/>
      <c r="X25" s="122">
        <v>0</v>
      </c>
      <c r="Y25" s="122" t="e">
        <f t="shared" si="9"/>
        <v>#DIV/0!</v>
      </c>
      <c r="Z25" s="122" t="e">
        <f t="shared" si="10"/>
        <v>#DIV/0!</v>
      </c>
      <c r="AA25" s="118"/>
      <c r="AB25" s="118"/>
      <c r="AC25" s="118"/>
      <c r="AD25" s="118"/>
    </row>
    <row r="26" spans="1:30" ht="12.75">
      <c r="A26" s="117">
        <v>6</v>
      </c>
      <c r="B26" s="118">
        <f>Data_File!E21</f>
        <v>0</v>
      </c>
      <c r="C26" s="118">
        <f>Data_File!F21</f>
        <v>0</v>
      </c>
      <c r="D26" s="118"/>
      <c r="E26" s="118">
        <f t="shared" si="6"/>
        <v>0.35</v>
      </c>
      <c r="F26" s="118"/>
      <c r="G26" s="118"/>
      <c r="H26" s="121">
        <f>Data_File!V21</f>
        <v>0</v>
      </c>
      <c r="I26" s="118">
        <f t="shared" si="7"/>
        <v>0</v>
      </c>
      <c r="J26" s="121">
        <f t="shared" si="8"/>
        <v>0</v>
      </c>
      <c r="K26" s="118"/>
      <c r="L26" s="121">
        <f t="shared" si="3"/>
        <v>0</v>
      </c>
      <c r="M26" s="121">
        <f t="shared" si="4"/>
        <v>0</v>
      </c>
      <c r="N26" s="121">
        <f t="shared" si="5"/>
        <v>0</v>
      </c>
      <c r="O26" s="118"/>
      <c r="P26" s="121">
        <f t="shared" si="0"/>
        <v>0</v>
      </c>
      <c r="Q26" s="121">
        <f t="shared" si="1"/>
        <v>41.24556364288083</v>
      </c>
      <c r="R26" s="121">
        <f t="shared" si="2"/>
        <v>-60.771584128460546</v>
      </c>
      <c r="S26" s="118"/>
      <c r="T26" s="121">
        <f>Data_File!X21</f>
        <v>0</v>
      </c>
      <c r="U26" s="121">
        <f>Data_File!L21</f>
        <v>0</v>
      </c>
      <c r="V26" s="121">
        <f>Data_File!O21</f>
        <v>0</v>
      </c>
      <c r="W26" s="118"/>
      <c r="X26" s="122">
        <v>0</v>
      </c>
      <c r="Y26" s="122" t="e">
        <f t="shared" si="9"/>
        <v>#DIV/0!</v>
      </c>
      <c r="Z26" s="122" t="e">
        <f t="shared" si="10"/>
        <v>#DIV/0!</v>
      </c>
      <c r="AA26" s="118"/>
      <c r="AB26" s="118"/>
      <c r="AC26" s="118"/>
      <c r="AD26" s="118"/>
    </row>
    <row r="27" spans="1:30" ht="12.75">
      <c r="A27" s="117">
        <v>7</v>
      </c>
      <c r="B27" s="118">
        <f>Data_File!E22</f>
        <v>0</v>
      </c>
      <c r="C27" s="118">
        <f>Data_File!F22</f>
        <v>0</v>
      </c>
      <c r="D27" s="118"/>
      <c r="E27" s="118">
        <f t="shared" si="6"/>
        <v>0.35</v>
      </c>
      <c r="F27" s="118"/>
      <c r="G27" s="118"/>
      <c r="H27" s="121">
        <f>Data_File!V22</f>
        <v>0</v>
      </c>
      <c r="I27" s="118">
        <f t="shared" si="7"/>
        <v>0</v>
      </c>
      <c r="J27" s="121">
        <f t="shared" si="8"/>
        <v>0</v>
      </c>
      <c r="K27" s="118"/>
      <c r="L27" s="121">
        <f t="shared" si="3"/>
        <v>0</v>
      </c>
      <c r="M27" s="121">
        <f t="shared" si="4"/>
        <v>0</v>
      </c>
      <c r="N27" s="121">
        <f t="shared" si="5"/>
        <v>0</v>
      </c>
      <c r="O27" s="118"/>
      <c r="P27" s="121">
        <f t="shared" si="0"/>
        <v>0</v>
      </c>
      <c r="Q27" s="121">
        <f t="shared" si="1"/>
        <v>41.24556364288083</v>
      </c>
      <c r="R27" s="121">
        <f t="shared" si="2"/>
        <v>-60.771584128460546</v>
      </c>
      <c r="S27" s="118"/>
      <c r="T27" s="121">
        <f>Data_File!X22</f>
        <v>0</v>
      </c>
      <c r="U27" s="121">
        <f>Data_File!L22</f>
        <v>0</v>
      </c>
      <c r="V27" s="121">
        <f>Data_File!O22</f>
        <v>0</v>
      </c>
      <c r="W27" s="118"/>
      <c r="X27" s="122">
        <v>0</v>
      </c>
      <c r="Y27" s="122" t="e">
        <f t="shared" si="9"/>
        <v>#DIV/0!</v>
      </c>
      <c r="Z27" s="122" t="e">
        <f t="shared" si="10"/>
        <v>#DIV/0!</v>
      </c>
      <c r="AA27" s="118"/>
      <c r="AB27" s="118"/>
      <c r="AC27" s="118"/>
      <c r="AD27" s="118"/>
    </row>
    <row r="28" spans="1:30" ht="12.75">
      <c r="A28" s="117">
        <v>8</v>
      </c>
      <c r="B28" s="118">
        <f>Data_File!E23</f>
        <v>0</v>
      </c>
      <c r="C28" s="118">
        <f>Data_File!F23</f>
        <v>0</v>
      </c>
      <c r="D28" s="118"/>
      <c r="E28" s="118">
        <f t="shared" si="6"/>
        <v>0.35</v>
      </c>
      <c r="F28" s="118"/>
      <c r="G28" s="118"/>
      <c r="H28" s="121">
        <f>Data_File!V23</f>
        <v>0</v>
      </c>
      <c r="I28" s="118">
        <f t="shared" si="7"/>
        <v>0</v>
      </c>
      <c r="J28" s="121">
        <f t="shared" si="8"/>
        <v>0</v>
      </c>
      <c r="K28" s="118"/>
      <c r="L28" s="121">
        <f t="shared" si="3"/>
        <v>0</v>
      </c>
      <c r="M28" s="121">
        <f t="shared" si="4"/>
        <v>0</v>
      </c>
      <c r="N28" s="121">
        <f t="shared" si="5"/>
        <v>0</v>
      </c>
      <c r="O28" s="118"/>
      <c r="P28" s="121">
        <f t="shared" si="0"/>
        <v>0</v>
      </c>
      <c r="Q28" s="121">
        <f t="shared" si="1"/>
        <v>41.24556364288083</v>
      </c>
      <c r="R28" s="121">
        <f t="shared" si="2"/>
        <v>-60.771584128460546</v>
      </c>
      <c r="S28" s="118"/>
      <c r="T28" s="121">
        <f>Data_File!X23</f>
        <v>0</v>
      </c>
      <c r="U28" s="121">
        <f>Data_File!L23</f>
        <v>0</v>
      </c>
      <c r="V28" s="121">
        <f>Data_File!O23</f>
        <v>0</v>
      </c>
      <c r="W28" s="118"/>
      <c r="X28" s="122">
        <v>0</v>
      </c>
      <c r="Y28" s="122" t="e">
        <f t="shared" si="9"/>
        <v>#DIV/0!</v>
      </c>
      <c r="Z28" s="122" t="e">
        <f t="shared" si="10"/>
        <v>#DIV/0!</v>
      </c>
      <c r="AA28" s="118"/>
      <c r="AB28" s="118"/>
      <c r="AC28" s="118"/>
      <c r="AD28" s="118"/>
    </row>
    <row r="29" spans="1:30" ht="12.75">
      <c r="A29" s="117">
        <v>9</v>
      </c>
      <c r="B29" s="118">
        <f>Data_File!E24</f>
        <v>0</v>
      </c>
      <c r="C29" s="118">
        <f>Data_File!F24</f>
        <v>0</v>
      </c>
      <c r="D29" s="118"/>
      <c r="E29" s="118">
        <f t="shared" si="6"/>
        <v>0.35</v>
      </c>
      <c r="F29" s="118"/>
      <c r="G29" s="118"/>
      <c r="H29" s="121">
        <f>Data_File!V24</f>
        <v>0</v>
      </c>
      <c r="I29" s="118">
        <f t="shared" si="7"/>
        <v>0</v>
      </c>
      <c r="J29" s="121">
        <f t="shared" si="8"/>
        <v>0</v>
      </c>
      <c r="K29" s="118"/>
      <c r="L29" s="121">
        <f t="shared" si="3"/>
        <v>0</v>
      </c>
      <c r="M29" s="121">
        <f t="shared" si="4"/>
        <v>0</v>
      </c>
      <c r="N29" s="121">
        <f t="shared" si="5"/>
        <v>0</v>
      </c>
      <c r="O29" s="118"/>
      <c r="P29" s="121">
        <f t="shared" si="0"/>
        <v>0</v>
      </c>
      <c r="Q29" s="121">
        <f t="shared" si="1"/>
        <v>41.24556364288083</v>
      </c>
      <c r="R29" s="121">
        <f t="shared" si="2"/>
        <v>-60.771584128460546</v>
      </c>
      <c r="S29" s="118"/>
      <c r="T29" s="121">
        <f>Data_File!X24</f>
        <v>0</v>
      </c>
      <c r="U29" s="121">
        <f>Data_File!L24</f>
        <v>0</v>
      </c>
      <c r="V29" s="121">
        <f>Data_File!O24</f>
        <v>0</v>
      </c>
      <c r="W29" s="118"/>
      <c r="X29" s="122">
        <v>0</v>
      </c>
      <c r="Y29" s="122" t="e">
        <f t="shared" si="9"/>
        <v>#DIV/0!</v>
      </c>
      <c r="Z29" s="122" t="e">
        <f t="shared" si="10"/>
        <v>#DIV/0!</v>
      </c>
      <c r="AA29" s="118"/>
      <c r="AB29" s="118"/>
      <c r="AC29" s="118"/>
      <c r="AD29" s="118"/>
    </row>
    <row r="30" spans="1:30" ht="12.75">
      <c r="A30" s="117">
        <v>10</v>
      </c>
      <c r="B30" s="118">
        <f>Data_File!E25</f>
        <v>0</v>
      </c>
      <c r="C30" s="118">
        <f>Data_File!F25</f>
        <v>0</v>
      </c>
      <c r="D30" s="118"/>
      <c r="E30" s="118">
        <f t="shared" si="6"/>
        <v>0.35</v>
      </c>
      <c r="F30" s="118"/>
      <c r="G30" s="118"/>
      <c r="H30" s="121">
        <f>Data_File!V25</f>
        <v>0</v>
      </c>
      <c r="I30" s="118">
        <f t="shared" si="7"/>
        <v>0</v>
      </c>
      <c r="J30" s="121">
        <f t="shared" si="8"/>
        <v>0</v>
      </c>
      <c r="K30" s="118"/>
      <c r="L30" s="121">
        <f t="shared" si="3"/>
        <v>0</v>
      </c>
      <c r="M30" s="121">
        <f t="shared" si="4"/>
        <v>0</v>
      </c>
      <c r="N30" s="121">
        <f t="shared" si="5"/>
        <v>0</v>
      </c>
      <c r="O30" s="118"/>
      <c r="P30" s="121">
        <f t="shared" si="0"/>
        <v>0</v>
      </c>
      <c r="Q30" s="121">
        <f t="shared" si="1"/>
        <v>41.24556364288083</v>
      </c>
      <c r="R30" s="121">
        <f t="shared" si="2"/>
        <v>-60.771584128460546</v>
      </c>
      <c r="S30" s="118"/>
      <c r="T30" s="121">
        <f>Data_File!X25</f>
        <v>0</v>
      </c>
      <c r="U30" s="121">
        <f>Data_File!L25</f>
        <v>0</v>
      </c>
      <c r="V30" s="121">
        <f>Data_File!O25</f>
        <v>0</v>
      </c>
      <c r="W30" s="118"/>
      <c r="X30" s="122">
        <v>0</v>
      </c>
      <c r="Y30" s="122" t="e">
        <f t="shared" si="9"/>
        <v>#DIV/0!</v>
      </c>
      <c r="Z30" s="122" t="e">
        <f t="shared" si="10"/>
        <v>#DIV/0!</v>
      </c>
      <c r="AA30" s="118"/>
      <c r="AB30" s="118"/>
      <c r="AC30" s="118"/>
      <c r="AD30" s="118"/>
    </row>
    <row r="31" spans="1:30" ht="12.75">
      <c r="A31" s="117">
        <v>11</v>
      </c>
      <c r="B31" s="118">
        <f>Data_File!E26</f>
        <v>0</v>
      </c>
      <c r="C31" s="118">
        <f>Data_File!F26</f>
        <v>0</v>
      </c>
      <c r="D31" s="118"/>
      <c r="E31" s="118">
        <f t="shared" si="6"/>
        <v>0.35</v>
      </c>
      <c r="F31" s="118"/>
      <c r="G31" s="118"/>
      <c r="H31" s="121">
        <f>Data_File!V26</f>
        <v>0</v>
      </c>
      <c r="I31" s="118">
        <f t="shared" si="7"/>
        <v>0</v>
      </c>
      <c r="J31" s="121">
        <f t="shared" si="8"/>
        <v>0</v>
      </c>
      <c r="K31" s="118"/>
      <c r="L31" s="121">
        <f t="shared" si="3"/>
        <v>0</v>
      </c>
      <c r="M31" s="121">
        <f t="shared" si="4"/>
        <v>0</v>
      </c>
      <c r="N31" s="121">
        <f t="shared" si="5"/>
        <v>0</v>
      </c>
      <c r="O31" s="118"/>
      <c r="P31" s="121">
        <f t="shared" si="0"/>
        <v>0</v>
      </c>
      <c r="Q31" s="121">
        <f t="shared" si="1"/>
        <v>41.24556364288083</v>
      </c>
      <c r="R31" s="121">
        <f t="shared" si="2"/>
        <v>-60.771584128460546</v>
      </c>
      <c r="S31" s="118"/>
      <c r="T31" s="121">
        <f>Data_File!X26</f>
        <v>0</v>
      </c>
      <c r="U31" s="121">
        <f>Data_File!L26</f>
        <v>0</v>
      </c>
      <c r="V31" s="121">
        <f>Data_File!O26</f>
        <v>0</v>
      </c>
      <c r="W31" s="118"/>
      <c r="X31" s="122">
        <v>0</v>
      </c>
      <c r="Y31" s="122" t="e">
        <f t="shared" si="9"/>
        <v>#DIV/0!</v>
      </c>
      <c r="Z31" s="122" t="e">
        <f t="shared" si="10"/>
        <v>#DIV/0!</v>
      </c>
      <c r="AA31" s="118"/>
      <c r="AB31" s="118"/>
      <c r="AC31" s="118"/>
      <c r="AD31" s="118"/>
    </row>
    <row r="32" spans="1:30" ht="12.75">
      <c r="A32" s="117">
        <v>12</v>
      </c>
      <c r="B32" s="118">
        <f>Data_File!E27</f>
        <v>0</v>
      </c>
      <c r="C32" s="118">
        <f>Data_File!F27</f>
        <v>0</v>
      </c>
      <c r="D32" s="118"/>
      <c r="E32" s="118">
        <f t="shared" si="6"/>
        <v>0.35</v>
      </c>
      <c r="F32" s="118"/>
      <c r="G32" s="118"/>
      <c r="H32" s="121">
        <f>Data_File!V27</f>
        <v>0</v>
      </c>
      <c r="I32" s="118">
        <f t="shared" si="7"/>
        <v>0</v>
      </c>
      <c r="J32" s="121">
        <f t="shared" si="8"/>
        <v>0</v>
      </c>
      <c r="K32" s="118"/>
      <c r="L32" s="121">
        <f t="shared" si="3"/>
        <v>0</v>
      </c>
      <c r="M32" s="121">
        <f t="shared" si="4"/>
        <v>0</v>
      </c>
      <c r="N32" s="121">
        <f t="shared" si="5"/>
        <v>0</v>
      </c>
      <c r="O32" s="118"/>
      <c r="P32" s="121">
        <f t="shared" si="0"/>
        <v>0</v>
      </c>
      <c r="Q32" s="121">
        <f t="shared" si="1"/>
        <v>41.24556364288083</v>
      </c>
      <c r="R32" s="121">
        <f t="shared" si="2"/>
        <v>-60.771584128460546</v>
      </c>
      <c r="S32" s="118"/>
      <c r="T32" s="121">
        <f>Data_File!X27</f>
        <v>0</v>
      </c>
      <c r="U32" s="121">
        <f>Data_File!L27</f>
        <v>0</v>
      </c>
      <c r="V32" s="121">
        <f>Data_File!O27</f>
        <v>0</v>
      </c>
      <c r="W32" s="118"/>
      <c r="X32" s="122">
        <v>0</v>
      </c>
      <c r="Y32" s="122" t="e">
        <f t="shared" si="9"/>
        <v>#DIV/0!</v>
      </c>
      <c r="Z32" s="122" t="e">
        <f t="shared" si="10"/>
        <v>#DIV/0!</v>
      </c>
      <c r="AA32" s="118"/>
      <c r="AB32" s="118"/>
      <c r="AC32" s="118"/>
      <c r="AD32" s="118"/>
    </row>
    <row r="33" spans="1:30" ht="12.75">
      <c r="A33" s="117">
        <v>13</v>
      </c>
      <c r="B33" s="118">
        <f>Data_File!E28</f>
        <v>0</v>
      </c>
      <c r="C33" s="118">
        <f>Data_File!F28</f>
        <v>0</v>
      </c>
      <c r="D33" s="118"/>
      <c r="E33" s="118">
        <f t="shared" si="6"/>
        <v>0.35</v>
      </c>
      <c r="F33" s="118"/>
      <c r="G33" s="118"/>
      <c r="H33" s="121">
        <f>Data_File!V28</f>
        <v>0</v>
      </c>
      <c r="I33" s="118">
        <f t="shared" si="7"/>
        <v>0</v>
      </c>
      <c r="J33" s="121">
        <f t="shared" si="8"/>
        <v>0</v>
      </c>
      <c r="K33" s="118"/>
      <c r="L33" s="121">
        <f t="shared" si="3"/>
        <v>0</v>
      </c>
      <c r="M33" s="121">
        <f t="shared" si="4"/>
        <v>0</v>
      </c>
      <c r="N33" s="121">
        <f t="shared" si="5"/>
        <v>0</v>
      </c>
      <c r="O33" s="118"/>
      <c r="P33" s="121">
        <f t="shared" si="0"/>
        <v>0</v>
      </c>
      <c r="Q33" s="121">
        <f t="shared" si="1"/>
        <v>41.24556364288083</v>
      </c>
      <c r="R33" s="121">
        <f t="shared" si="2"/>
        <v>-60.771584128460546</v>
      </c>
      <c r="S33" s="118"/>
      <c r="T33" s="121">
        <f>Data_File!X28</f>
        <v>0</v>
      </c>
      <c r="U33" s="121">
        <f>Data_File!L28</f>
        <v>0</v>
      </c>
      <c r="V33" s="121">
        <f>Data_File!O28</f>
        <v>0</v>
      </c>
      <c r="W33" s="118"/>
      <c r="X33" s="122">
        <v>0</v>
      </c>
      <c r="Y33" s="122" t="e">
        <f t="shared" si="9"/>
        <v>#DIV/0!</v>
      </c>
      <c r="Z33" s="122" t="e">
        <f t="shared" si="10"/>
        <v>#DIV/0!</v>
      </c>
      <c r="AA33" s="118"/>
      <c r="AB33" s="118"/>
      <c r="AC33" s="118"/>
      <c r="AD33" s="118"/>
    </row>
    <row r="34" spans="1:30" ht="12.75">
      <c r="A34" s="117">
        <v>14</v>
      </c>
      <c r="B34" s="118">
        <f>Data_File!E29</f>
        <v>300</v>
      </c>
      <c r="C34" s="118">
        <f>Data_File!F29</f>
        <v>0</v>
      </c>
      <c r="D34" s="118"/>
      <c r="E34" s="118">
        <f t="shared" si="6"/>
        <v>0.35</v>
      </c>
      <c r="F34" s="118"/>
      <c r="G34" s="118"/>
      <c r="H34" s="121">
        <f>Data_File!V29</f>
        <v>-128.2</v>
      </c>
      <c r="I34" s="118">
        <f t="shared" si="7"/>
        <v>-44.86999999999999</v>
      </c>
      <c r="J34" s="121">
        <f t="shared" si="8"/>
        <v>-83.33</v>
      </c>
      <c r="K34" s="118"/>
      <c r="L34" s="121">
        <f t="shared" si="3"/>
        <v>-100</v>
      </c>
      <c r="M34" s="121">
        <f t="shared" si="4"/>
        <v>-58.75443635711917</v>
      </c>
      <c r="N34" s="121">
        <f t="shared" si="5"/>
        <v>-160.77158412846052</v>
      </c>
      <c r="O34" s="118"/>
      <c r="P34" s="121">
        <f t="shared" si="0"/>
        <v>100.00000000000001</v>
      </c>
      <c r="Q34" s="121">
        <f t="shared" si="1"/>
        <v>100</v>
      </c>
      <c r="R34" s="121">
        <f t="shared" si="2"/>
        <v>99.99999999999997</v>
      </c>
      <c r="S34" s="118"/>
      <c r="T34" s="121">
        <f>Data_File!X29</f>
        <v>100.00000000000001</v>
      </c>
      <c r="U34" s="121">
        <f>Data_File!L29</f>
        <v>100</v>
      </c>
      <c r="V34" s="121">
        <f>Data_File!O29</f>
        <v>100</v>
      </c>
      <c r="W34" s="118"/>
      <c r="X34" s="122">
        <v>0</v>
      </c>
      <c r="Y34" s="122">
        <f t="shared" si="9"/>
        <v>0</v>
      </c>
      <c r="Z34" s="122">
        <f t="shared" si="10"/>
        <v>6.220010465486634E-32</v>
      </c>
      <c r="AA34" s="118"/>
      <c r="AB34" s="118"/>
      <c r="AC34" s="118"/>
      <c r="AD34" s="118"/>
    </row>
    <row r="35" spans="1:30" ht="12.75">
      <c r="A35" s="117">
        <v>15</v>
      </c>
      <c r="B35" s="118">
        <f>Data_File!E30</f>
        <v>212</v>
      </c>
      <c r="C35" s="118">
        <f>Data_File!F30</f>
        <v>252.19040425836982</v>
      </c>
      <c r="D35" s="118"/>
      <c r="E35" s="118">
        <f t="shared" si="6"/>
        <v>0.9891980066024207</v>
      </c>
      <c r="F35" s="118"/>
      <c r="G35" s="118"/>
      <c r="H35" s="121">
        <f>Data_File!V30</f>
        <v>3.46954464493915</v>
      </c>
      <c r="I35" s="118">
        <f t="shared" si="7"/>
        <v>3.432066646591911</v>
      </c>
      <c r="J35" s="121">
        <f t="shared" si="8"/>
        <v>0.03747799834723908</v>
      </c>
      <c r="K35" s="118"/>
      <c r="L35" s="121">
        <f t="shared" si="3"/>
        <v>2.7063530771756246</v>
      </c>
      <c r="M35" s="121">
        <f t="shared" si="4"/>
        <v>4.494074913317938</v>
      </c>
      <c r="N35" s="121">
        <f t="shared" si="5"/>
        <v>0.07230765827732452</v>
      </c>
      <c r="O35" s="118"/>
      <c r="P35" s="121">
        <f t="shared" si="0"/>
        <v>97.2936469228244</v>
      </c>
      <c r="Q35" s="121">
        <f t="shared" si="1"/>
        <v>95.50592508668205</v>
      </c>
      <c r="R35" s="121">
        <f t="shared" si="2"/>
        <v>99.92769234172265</v>
      </c>
      <c r="S35" s="118"/>
      <c r="T35" s="121">
        <f>Data_File!X30</f>
        <v>97.2936469228244</v>
      </c>
      <c r="U35" s="121">
        <f>Data_File!L30</f>
        <v>95.13888888888889</v>
      </c>
      <c r="V35" s="121">
        <f>Data_File!O30</f>
        <v>99.52054794520548</v>
      </c>
      <c r="W35" s="118"/>
      <c r="X35" s="122">
        <v>0</v>
      </c>
      <c r="Y35" s="122">
        <f t="shared" si="9"/>
        <v>3.423177985128517E-06</v>
      </c>
      <c r="Z35" s="122">
        <f t="shared" si="10"/>
        <v>1.2887305748817256E-05</v>
      </c>
      <c r="AA35" s="118"/>
      <c r="AB35" s="118"/>
      <c r="AC35" s="118"/>
      <c r="AD35" s="118"/>
    </row>
    <row r="36" spans="1:30" ht="12.75">
      <c r="A36" s="117">
        <v>16</v>
      </c>
      <c r="B36" s="118">
        <f>Data_File!E31</f>
        <v>150</v>
      </c>
      <c r="C36" s="118">
        <f>Data_File!F31</f>
        <v>178.3255450012701</v>
      </c>
      <c r="D36" s="118"/>
      <c r="E36" s="118">
        <f t="shared" si="6"/>
        <v>0.9455808033830096</v>
      </c>
      <c r="F36" s="118"/>
      <c r="G36" s="118"/>
      <c r="H36" s="121">
        <f>Data_File!V31</f>
        <v>9.418486158823741</v>
      </c>
      <c r="I36" s="118">
        <f t="shared" si="7"/>
        <v>8.90593970871231</v>
      </c>
      <c r="J36" s="121">
        <f t="shared" si="8"/>
        <v>0.5125464501114312</v>
      </c>
      <c r="K36" s="118"/>
      <c r="L36" s="121">
        <f t="shared" si="3"/>
        <v>7.346713072405415</v>
      </c>
      <c r="M36" s="121">
        <f t="shared" si="4"/>
        <v>11.66176661056113</v>
      </c>
      <c r="N36" s="121">
        <f t="shared" si="5"/>
        <v>0.9888744116624715</v>
      </c>
      <c r="O36" s="118"/>
      <c r="P36" s="121">
        <f t="shared" si="0"/>
        <v>89.94693385041897</v>
      </c>
      <c r="Q36" s="121">
        <f t="shared" si="1"/>
        <v>83.84415847612092</v>
      </c>
      <c r="R36" s="121">
        <f t="shared" si="2"/>
        <v>98.93881793006018</v>
      </c>
      <c r="S36" s="118"/>
      <c r="T36" s="121">
        <f>Data_File!X31</f>
        <v>89.94693385041897</v>
      </c>
      <c r="U36" s="121">
        <f>Data_File!L31</f>
        <v>79.0625</v>
      </c>
      <c r="V36" s="121">
        <f>Data_File!O31</f>
        <v>97.78538812785388</v>
      </c>
      <c r="W36" s="118"/>
      <c r="X36" s="122">
        <v>0</v>
      </c>
      <c r="Y36" s="122">
        <f t="shared" si="9"/>
        <v>0.0008412863804898777</v>
      </c>
      <c r="Z36" s="122">
        <f t="shared" si="10"/>
        <v>0.00010713346077909117</v>
      </c>
      <c r="AA36" s="118"/>
      <c r="AB36" s="118"/>
      <c r="AC36" s="118"/>
      <c r="AD36" s="118"/>
    </row>
    <row r="37" spans="1:30" ht="12.75">
      <c r="A37" s="117">
        <v>17</v>
      </c>
      <c r="B37" s="118">
        <f>Data_File!E32</f>
        <v>106</v>
      </c>
      <c r="C37" s="118">
        <f>Data_File!F32</f>
        <v>126.09520212918491</v>
      </c>
      <c r="D37" s="118"/>
      <c r="E37" s="118">
        <f t="shared" si="6"/>
        <v>0.8550709563488026</v>
      </c>
      <c r="F37" s="118"/>
      <c r="G37" s="118"/>
      <c r="H37" s="121">
        <f>Data_File!V32</f>
        <v>18.570425234454902</v>
      </c>
      <c r="I37" s="118">
        <f t="shared" si="7"/>
        <v>15.87903126502929</v>
      </c>
      <c r="J37" s="121">
        <f t="shared" si="8"/>
        <v>2.6913939694256115</v>
      </c>
      <c r="K37" s="118"/>
      <c r="L37" s="121">
        <f t="shared" si="3"/>
        <v>14.485511103318958</v>
      </c>
      <c r="M37" s="121">
        <f t="shared" si="4"/>
        <v>20.792590413948496</v>
      </c>
      <c r="N37" s="121">
        <f t="shared" si="5"/>
        <v>5.192603767890808</v>
      </c>
      <c r="O37" s="118"/>
      <c r="P37" s="121">
        <f t="shared" si="0"/>
        <v>75.46142274710002</v>
      </c>
      <c r="Q37" s="121">
        <f t="shared" si="1"/>
        <v>63.051568062172436</v>
      </c>
      <c r="R37" s="121">
        <f t="shared" si="2"/>
        <v>93.74621416216938</v>
      </c>
      <c r="S37" s="118"/>
      <c r="T37" s="121">
        <f>Data_File!X32</f>
        <v>75.46142274710002</v>
      </c>
      <c r="U37" s="121">
        <f>Data_File!L32</f>
        <v>47.72569444444444</v>
      </c>
      <c r="V37" s="121">
        <f>Data_File!O32</f>
        <v>94.13242009132419</v>
      </c>
      <c r="W37" s="118"/>
      <c r="X37" s="122">
        <v>0</v>
      </c>
      <c r="Y37" s="122">
        <f t="shared" si="9"/>
        <v>0.02371776725522938</v>
      </c>
      <c r="Z37" s="122">
        <f t="shared" si="10"/>
        <v>1.29613473805621E-05</v>
      </c>
      <c r="AA37" s="118"/>
      <c r="AB37" s="118"/>
      <c r="AC37" s="118"/>
      <c r="AD37" s="118"/>
    </row>
    <row r="38" spans="1:30" ht="12.75">
      <c r="A38" s="117">
        <v>18</v>
      </c>
      <c r="B38" s="118">
        <f>Data_File!E33</f>
        <v>75</v>
      </c>
      <c r="C38" s="118">
        <f>Data_File!F33</f>
        <v>89.16277250063504</v>
      </c>
      <c r="D38" s="118"/>
      <c r="E38" s="118">
        <f t="shared" si="6"/>
        <v>0.7378281972605776</v>
      </c>
      <c r="F38" s="118"/>
      <c r="G38" s="118"/>
      <c r="H38" s="121">
        <f>Data_File!V33</f>
        <v>16.217261889853095</v>
      </c>
      <c r="I38" s="118">
        <f t="shared" si="7"/>
        <v>11.965553104692976</v>
      </c>
      <c r="J38" s="121">
        <f t="shared" si="8"/>
        <v>4.251708785160119</v>
      </c>
      <c r="K38" s="118"/>
      <c r="L38" s="121">
        <f t="shared" si="3"/>
        <v>12.64997027289633</v>
      </c>
      <c r="M38" s="121">
        <f t="shared" si="4"/>
        <v>15.66813747197266</v>
      </c>
      <c r="N38" s="121">
        <f t="shared" si="5"/>
        <v>8.202975598740966</v>
      </c>
      <c r="O38" s="118"/>
      <c r="P38" s="121">
        <f t="shared" si="0"/>
        <v>62.81145247420368</v>
      </c>
      <c r="Q38" s="121">
        <f t="shared" si="1"/>
        <v>47.38343059019978</v>
      </c>
      <c r="R38" s="121">
        <f t="shared" si="2"/>
        <v>85.54323856342842</v>
      </c>
      <c r="S38" s="118"/>
      <c r="T38" s="121">
        <f>Data_File!X33</f>
        <v>62.81145247420368</v>
      </c>
      <c r="U38" s="121">
        <f>Data_File!L33</f>
        <v>26.73611111111111</v>
      </c>
      <c r="V38" s="121">
        <f>Data_File!O33</f>
        <v>87.73972602739725</v>
      </c>
      <c r="W38" s="118"/>
      <c r="X38" s="122">
        <v>0</v>
      </c>
      <c r="Y38" s="122">
        <f t="shared" si="9"/>
        <v>0.13716986672127582</v>
      </c>
      <c r="Z38" s="122">
        <f t="shared" si="10"/>
        <v>0.0004825647949179422</v>
      </c>
      <c r="AA38" s="118"/>
      <c r="AB38" s="118"/>
      <c r="AC38" s="118"/>
      <c r="AD38" s="118"/>
    </row>
    <row r="39" spans="1:30" ht="12.75">
      <c r="A39" s="117">
        <v>19</v>
      </c>
      <c r="B39" s="118">
        <f>Data_File!E34</f>
        <v>53</v>
      </c>
      <c r="C39" s="118">
        <f>Data_File!F34</f>
        <v>63.047601064592456</v>
      </c>
      <c r="D39" s="118"/>
      <c r="E39" s="118">
        <f t="shared" si="6"/>
        <v>0.624731267082834</v>
      </c>
      <c r="F39" s="118"/>
      <c r="G39" s="118"/>
      <c r="H39" s="121">
        <f>Data_File!V34</f>
        <v>10.475993563703843</v>
      </c>
      <c r="I39" s="118">
        <f t="shared" si="7"/>
        <v>6.5446807330043155</v>
      </c>
      <c r="J39" s="121">
        <f t="shared" si="8"/>
        <v>3.931312830699528</v>
      </c>
      <c r="K39" s="118"/>
      <c r="L39" s="121">
        <f t="shared" si="3"/>
        <v>8.17160184376275</v>
      </c>
      <c r="M39" s="121">
        <f t="shared" si="4"/>
        <v>8.569846837641323</v>
      </c>
      <c r="N39" s="121">
        <f t="shared" si="5"/>
        <v>7.584824090916902</v>
      </c>
      <c r="O39" s="118"/>
      <c r="P39" s="121">
        <f t="shared" si="0"/>
        <v>54.63985063044093</v>
      </c>
      <c r="Q39" s="121">
        <f t="shared" si="1"/>
        <v>38.81358375255846</v>
      </c>
      <c r="R39" s="121">
        <f t="shared" si="2"/>
        <v>77.95841447251152</v>
      </c>
      <c r="S39" s="118"/>
      <c r="T39" s="121">
        <f>Data_File!X34</f>
        <v>54.63985063044093</v>
      </c>
      <c r="U39" s="121">
        <f>Data_File!L34</f>
        <v>17.916666666666668</v>
      </c>
      <c r="V39" s="121">
        <f>Data_File!O34</f>
        <v>79.56621004566209</v>
      </c>
      <c r="W39" s="118"/>
      <c r="X39" s="122">
        <v>0</v>
      </c>
      <c r="Y39" s="122">
        <f t="shared" si="9"/>
        <v>0.31288003199927206</v>
      </c>
      <c r="Z39" s="122">
        <f t="shared" si="10"/>
        <v>0.0003144090500555528</v>
      </c>
      <c r="AA39" s="118"/>
      <c r="AB39" s="118"/>
      <c r="AC39" s="118"/>
      <c r="AD39" s="118"/>
    </row>
    <row r="40" spans="1:30" ht="12.75">
      <c r="A40" s="117">
        <v>20</v>
      </c>
      <c r="B40" s="118">
        <f>Data_File!E35</f>
        <v>38</v>
      </c>
      <c r="C40" s="118">
        <f>Data_File!F35</f>
        <v>44.87761134463375</v>
      </c>
      <c r="D40" s="118"/>
      <c r="E40" s="118">
        <f t="shared" si="6"/>
        <v>0.5352871138174518</v>
      </c>
      <c r="F40" s="118"/>
      <c r="G40" s="118"/>
      <c r="H40" s="121">
        <f>Data_File!V35</f>
        <v>7.460174637913339</v>
      </c>
      <c r="I40" s="118">
        <f t="shared" si="7"/>
        <v>3.9933353505027847</v>
      </c>
      <c r="J40" s="121">
        <f t="shared" si="8"/>
        <v>3.4668392874105547</v>
      </c>
      <c r="K40" s="118"/>
      <c r="L40" s="121">
        <f t="shared" si="3"/>
        <v>5.819168984331778</v>
      </c>
      <c r="M40" s="121">
        <f t="shared" si="4"/>
        <v>5.229020898233788</v>
      </c>
      <c r="N40" s="121">
        <f t="shared" si="5"/>
        <v>6.688698477808449</v>
      </c>
      <c r="O40" s="118"/>
      <c r="P40" s="121">
        <f>L41</f>
        <v>48.82068164610915</v>
      </c>
      <c r="Q40" s="121">
        <f>M41</f>
        <v>33.584562854324666</v>
      </c>
      <c r="R40" s="121">
        <f>N41</f>
        <v>71.26971599470308</v>
      </c>
      <c r="S40" s="118"/>
      <c r="T40" s="121">
        <f>Data_File!X35</f>
        <v>48.82068164610915</v>
      </c>
      <c r="U40" s="121">
        <f>Data_File!L35</f>
        <v>13.73263888888889</v>
      </c>
      <c r="V40" s="121">
        <f>Data_File!O35</f>
        <v>72.648401826484</v>
      </c>
      <c r="W40" s="118"/>
      <c r="X40" s="122">
        <v>0</v>
      </c>
      <c r="Y40" s="122">
        <f t="shared" si="9"/>
        <v>0.48064567877116976</v>
      </c>
      <c r="Z40" s="122">
        <f t="shared" si="10"/>
        <v>0.00027731235605626926</v>
      </c>
      <c r="AA40" s="118"/>
      <c r="AB40" s="118"/>
      <c r="AC40" s="118"/>
      <c r="AD40" s="118"/>
    </row>
    <row r="41" spans="1:35" ht="12.75">
      <c r="A41" s="117">
        <v>21</v>
      </c>
      <c r="B41" s="118">
        <v>0</v>
      </c>
      <c r="C41" s="118">
        <f>Data_File!F36</f>
        <v>19</v>
      </c>
      <c r="D41" s="118"/>
      <c r="E41" s="118">
        <f t="shared" si="6"/>
        <v>0.40979177837334385</v>
      </c>
      <c r="F41" s="118"/>
      <c r="G41" s="118"/>
      <c r="H41" s="121">
        <f>Data_File!V36</f>
        <v>62.58811387031192</v>
      </c>
      <c r="I41" s="118">
        <f t="shared" si="7"/>
        <v>25.648094487948473</v>
      </c>
      <c r="J41" s="121">
        <f t="shared" si="8"/>
        <v>36.940019382363445</v>
      </c>
      <c r="K41" s="118"/>
      <c r="L41" s="121">
        <f t="shared" si="3"/>
        <v>48.82068164610915</v>
      </c>
      <c r="M41" s="121">
        <f t="shared" si="4"/>
        <v>33.584562854324666</v>
      </c>
      <c r="N41" s="121">
        <f t="shared" si="5"/>
        <v>71.26971599470308</v>
      </c>
      <c r="O41" s="118"/>
      <c r="P41" s="118"/>
      <c r="Q41" s="118"/>
      <c r="R41" s="118"/>
      <c r="S41" s="118"/>
      <c r="T41" s="121"/>
      <c r="U41" s="121"/>
      <c r="V41" s="121"/>
      <c r="W41" s="118"/>
      <c r="X41" s="122"/>
      <c r="Y41" s="122"/>
      <c r="Z41" s="122"/>
      <c r="AA41" s="118"/>
      <c r="AB41" s="118"/>
      <c r="AC41" s="118"/>
      <c r="AD41" s="118"/>
      <c r="AG41" s="5"/>
      <c r="AI41" s="5"/>
    </row>
    <row r="42" spans="1:30" ht="12.75">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22"/>
      <c r="Y42" s="122"/>
      <c r="Z42" s="122"/>
      <c r="AA42" s="118"/>
      <c r="AB42" s="123" t="s">
        <v>92</v>
      </c>
      <c r="AC42" s="123"/>
      <c r="AD42" s="118"/>
    </row>
    <row r="43" spans="1:35" ht="12.75">
      <c r="A43" s="118"/>
      <c r="B43" s="118"/>
      <c r="C43" s="118"/>
      <c r="D43" s="118"/>
      <c r="E43" s="118"/>
      <c r="F43" s="118"/>
      <c r="G43" s="124" t="s">
        <v>8</v>
      </c>
      <c r="H43" s="121">
        <f>SUM(H22:H41)</f>
        <v>128.2</v>
      </c>
      <c r="I43" s="121">
        <f>SUM(I22:I41)</f>
        <v>76.36870129648206</v>
      </c>
      <c r="J43" s="121">
        <f>SUM(J22:J41)</f>
        <v>51.83129870351793</v>
      </c>
      <c r="K43" s="118"/>
      <c r="L43" s="121">
        <f>SUM(L22:L41)</f>
        <v>100</v>
      </c>
      <c r="M43" s="121">
        <f>SUM(M22:M41)</f>
        <v>100</v>
      </c>
      <c r="N43" s="121">
        <f>SUM(N22:N41)</f>
        <v>100</v>
      </c>
      <c r="O43" s="118"/>
      <c r="P43" s="118"/>
      <c r="Q43" s="118"/>
      <c r="R43" s="118"/>
      <c r="S43" s="118"/>
      <c r="T43" s="121"/>
      <c r="U43" s="121"/>
      <c r="V43" s="121"/>
      <c r="W43" s="118"/>
      <c r="X43" s="122"/>
      <c r="Y43" s="122" t="e">
        <f>AVERAGE(Y22:Y40)/Y20</f>
        <v>#DIV/0!</v>
      </c>
      <c r="Z43" s="122" t="e">
        <f>AVERAGE(Z22:Z40)/Z20</f>
        <v>#DIV/0!</v>
      </c>
      <c r="AA43" s="118"/>
      <c r="AB43" s="125" t="e">
        <f>(Y43*Y20+Z43*Z20)/(Y20+Z20)</f>
        <v>#DIV/0!</v>
      </c>
      <c r="AC43" s="126"/>
      <c r="AD43" s="118"/>
      <c r="AG43" s="5"/>
      <c r="AH43" s="5"/>
      <c r="AI43" s="5"/>
    </row>
    <row r="44" spans="1:30" ht="12.75">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row>
    <row r="45" spans="1:30" ht="12.75">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row>
    <row r="46" spans="1:30"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row>
    <row r="47" spans="1:30"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row>
    <row r="48" spans="1:30"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row>
    <row r="49" spans="1:30"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row>
    <row r="50" spans="1:30"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row>
    <row r="51" spans="1:30"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row>
    <row r="52" spans="1:30"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row>
    <row r="53" spans="1:30"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row>
  </sheetData>
  <sheetProtection password="CD50" sheet="1" objects="1" scenarios="1"/>
  <mergeCells count="5">
    <mergeCell ref="H17:J17"/>
    <mergeCell ref="T17:V17"/>
    <mergeCell ref="X17:Z17"/>
    <mergeCell ref="L17:N17"/>
    <mergeCell ref="P17:R17"/>
  </mergeCells>
  <printOptions gridLines="1"/>
  <pageMargins left="0" right="0" top="1" bottom="1" header="0.5" footer="0.5"/>
  <pageSetup horizontalDpi="300" verticalDpi="3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11"/>
  <dimension ref="B2:AH42"/>
  <sheetViews>
    <sheetView zoomScale="80" zoomScaleNormal="80" workbookViewId="0" topLeftCell="A4">
      <selection activeCell="A1" sqref="A1"/>
    </sheetView>
  </sheetViews>
  <sheetFormatPr defaultColWidth="9.140625" defaultRowHeight="12.75"/>
  <cols>
    <col min="1" max="2" width="1.7109375" style="0" customWidth="1"/>
    <col min="3" max="15" width="10.7109375" style="0" customWidth="1"/>
    <col min="16" max="18" width="1.7109375" style="0" customWidth="1"/>
    <col min="19" max="19" width="12.7109375" style="0" customWidth="1"/>
    <col min="21" max="21" width="13.7109375" style="0" bestFit="1" customWidth="1"/>
    <col min="22" max="24" width="10.7109375" style="0" customWidth="1"/>
    <col min="26" max="28" width="10.7109375" style="0" customWidth="1"/>
    <col min="30" max="32" width="10.7109375" style="0" customWidth="1"/>
    <col min="34" max="34" width="1.7109375" style="0" customWidth="1"/>
  </cols>
  <sheetData>
    <row r="1" ht="7.5" customHeight="1" thickBot="1"/>
    <row r="2" spans="2:34" ht="24.75" customHeight="1" thickTop="1">
      <c r="B2" s="72"/>
      <c r="C2" s="111" t="s">
        <v>111</v>
      </c>
      <c r="D2" s="67"/>
      <c r="E2" s="67"/>
      <c r="F2" s="67"/>
      <c r="G2" s="67"/>
      <c r="H2" s="67"/>
      <c r="I2" s="67"/>
      <c r="J2" s="67"/>
      <c r="K2" s="67"/>
      <c r="L2" s="67"/>
      <c r="M2" s="67"/>
      <c r="N2" s="67"/>
      <c r="O2" s="112"/>
      <c r="P2" s="68"/>
      <c r="R2" s="106"/>
      <c r="S2" s="83"/>
      <c r="T2" s="83"/>
      <c r="U2" s="83"/>
      <c r="V2" s="83"/>
      <c r="W2" s="83"/>
      <c r="X2" s="83"/>
      <c r="Y2" s="83"/>
      <c r="Z2" s="83"/>
      <c r="AA2" s="83"/>
      <c r="AB2" s="83"/>
      <c r="AC2" s="83"/>
      <c r="AD2" s="83"/>
      <c r="AE2" s="83"/>
      <c r="AF2" s="83"/>
      <c r="AG2" s="83"/>
      <c r="AH2" s="87"/>
    </row>
    <row r="3" spans="2:34" ht="15.75" customHeight="1">
      <c r="B3" s="40"/>
      <c r="C3" s="31"/>
      <c r="D3" s="334" t="s">
        <v>113</v>
      </c>
      <c r="E3" s="334"/>
      <c r="F3" s="334"/>
      <c r="G3" s="334"/>
      <c r="H3" s="334"/>
      <c r="I3" s="334"/>
      <c r="J3" s="334"/>
      <c r="K3" s="334"/>
      <c r="L3" s="334"/>
      <c r="M3" s="334"/>
      <c r="N3" s="334"/>
      <c r="O3" s="32"/>
      <c r="P3" s="33"/>
      <c r="R3" s="92"/>
      <c r="S3" s="82"/>
      <c r="T3" s="82"/>
      <c r="U3" s="82"/>
      <c r="V3" s="82"/>
      <c r="W3" s="82"/>
      <c r="X3" s="82"/>
      <c r="Y3" s="82"/>
      <c r="Z3" s="82"/>
      <c r="AA3" s="82"/>
      <c r="AB3" s="82"/>
      <c r="AC3" s="82"/>
      <c r="AD3" s="82"/>
      <c r="AE3" s="82"/>
      <c r="AF3" s="82"/>
      <c r="AG3" s="82"/>
      <c r="AH3" s="88"/>
    </row>
    <row r="4" spans="2:34" ht="12.75">
      <c r="B4" s="40"/>
      <c r="C4" s="32"/>
      <c r="D4" s="32"/>
      <c r="E4" s="32"/>
      <c r="F4" s="32"/>
      <c r="G4" s="32"/>
      <c r="H4" s="32"/>
      <c r="I4" s="32"/>
      <c r="J4" s="32"/>
      <c r="K4" s="32"/>
      <c r="L4" s="32"/>
      <c r="M4" s="32"/>
      <c r="N4" s="32"/>
      <c r="O4" s="32"/>
      <c r="P4" s="33"/>
      <c r="R4" s="92"/>
      <c r="S4" s="82"/>
      <c r="T4" s="82"/>
      <c r="U4" s="82"/>
      <c r="V4" s="82"/>
      <c r="W4" s="82"/>
      <c r="X4" s="82"/>
      <c r="Y4" s="82"/>
      <c r="Z4" s="82"/>
      <c r="AA4" s="82"/>
      <c r="AB4" s="82"/>
      <c r="AC4" s="82"/>
      <c r="AD4" s="82"/>
      <c r="AE4" s="82"/>
      <c r="AF4" s="82"/>
      <c r="AG4" s="82"/>
      <c r="AH4" s="88"/>
    </row>
    <row r="5" spans="2:34" ht="12.75">
      <c r="B5" s="40"/>
      <c r="C5" s="70" t="s">
        <v>39</v>
      </c>
      <c r="D5" s="335" t="s">
        <v>115</v>
      </c>
      <c r="E5" s="336"/>
      <c r="F5" s="336"/>
      <c r="G5" s="336"/>
      <c r="H5" s="336"/>
      <c r="I5" s="337"/>
      <c r="J5" s="32"/>
      <c r="K5" s="32"/>
      <c r="L5" s="70" t="s">
        <v>114</v>
      </c>
      <c r="M5" s="32"/>
      <c r="N5" s="26">
        <v>1</v>
      </c>
      <c r="O5" s="32"/>
      <c r="P5" s="33"/>
      <c r="R5" s="92"/>
      <c r="S5" s="82"/>
      <c r="T5" s="82"/>
      <c r="U5" s="82"/>
      <c r="V5" s="82"/>
      <c r="W5" s="82"/>
      <c r="X5" s="82"/>
      <c r="Y5" s="82"/>
      <c r="Z5" s="82"/>
      <c r="AA5" s="82"/>
      <c r="AB5" s="82"/>
      <c r="AC5" s="82"/>
      <c r="AD5" s="82"/>
      <c r="AE5" s="82"/>
      <c r="AF5" s="82"/>
      <c r="AG5" s="82"/>
      <c r="AH5" s="88"/>
    </row>
    <row r="6" spans="2:34" ht="12.75">
      <c r="B6" s="40"/>
      <c r="C6" s="32"/>
      <c r="D6" s="338" t="s">
        <v>102</v>
      </c>
      <c r="E6" s="339"/>
      <c r="F6" s="339"/>
      <c r="G6" s="339"/>
      <c r="H6" s="339"/>
      <c r="I6" s="340"/>
      <c r="J6" s="32"/>
      <c r="K6" s="32"/>
      <c r="L6" s="32"/>
      <c r="M6" s="32"/>
      <c r="N6" s="32"/>
      <c r="O6" s="32"/>
      <c r="P6" s="33"/>
      <c r="R6" s="92"/>
      <c r="S6" s="82"/>
      <c r="T6" s="82"/>
      <c r="U6" s="82"/>
      <c r="V6" s="82"/>
      <c r="W6" s="82"/>
      <c r="X6" s="82"/>
      <c r="Y6" s="82"/>
      <c r="Z6" s="82"/>
      <c r="AA6" s="82"/>
      <c r="AB6" s="82"/>
      <c r="AC6" s="82"/>
      <c r="AD6" s="82"/>
      <c r="AE6" s="82"/>
      <c r="AF6" s="82"/>
      <c r="AG6" s="82"/>
      <c r="AH6" s="88"/>
    </row>
    <row r="7" spans="2:34" ht="12.75">
      <c r="B7" s="40"/>
      <c r="C7" s="32"/>
      <c r="D7" s="34"/>
      <c r="E7" s="34"/>
      <c r="F7" s="34"/>
      <c r="G7" s="34"/>
      <c r="H7" s="34"/>
      <c r="I7" s="34"/>
      <c r="J7" s="32"/>
      <c r="K7" s="32"/>
      <c r="L7" s="32"/>
      <c r="M7" s="32"/>
      <c r="N7" s="32"/>
      <c r="O7" s="32"/>
      <c r="P7" s="33"/>
      <c r="R7" s="92"/>
      <c r="S7" s="82"/>
      <c r="T7" s="82"/>
      <c r="U7" s="82"/>
      <c r="V7" s="82"/>
      <c r="W7" s="82"/>
      <c r="X7" s="82"/>
      <c r="Y7" s="82"/>
      <c r="Z7" s="82"/>
      <c r="AA7" s="82"/>
      <c r="AB7" s="82"/>
      <c r="AC7" s="82"/>
      <c r="AD7" s="82"/>
      <c r="AE7" s="82"/>
      <c r="AF7" s="82"/>
      <c r="AG7" s="82"/>
      <c r="AH7" s="88"/>
    </row>
    <row r="8" spans="2:34" ht="12.75">
      <c r="B8" s="40"/>
      <c r="C8" s="35"/>
      <c r="D8" s="35"/>
      <c r="E8" s="36"/>
      <c r="F8" s="37"/>
      <c r="G8" s="36"/>
      <c r="H8" s="36"/>
      <c r="I8" s="74"/>
      <c r="J8" s="32"/>
      <c r="K8" s="70" t="s">
        <v>46</v>
      </c>
      <c r="L8" s="32"/>
      <c r="M8" s="32"/>
      <c r="N8" s="30">
        <v>2.8</v>
      </c>
      <c r="O8" s="32"/>
      <c r="P8" s="33"/>
      <c r="R8" s="92"/>
      <c r="S8" s="82"/>
      <c r="T8" s="82"/>
      <c r="U8" s="82"/>
      <c r="V8" s="82"/>
      <c r="W8" s="82"/>
      <c r="X8" s="82"/>
      <c r="Y8" s="82"/>
      <c r="Z8" s="82"/>
      <c r="AA8" s="82"/>
      <c r="AB8" s="82"/>
      <c r="AC8" s="82"/>
      <c r="AD8" s="82"/>
      <c r="AE8" s="82"/>
      <c r="AF8" s="82"/>
      <c r="AG8" s="82"/>
      <c r="AH8" s="88"/>
    </row>
    <row r="9" spans="2:34" ht="12.75">
      <c r="B9" s="40"/>
      <c r="C9" s="70" t="s">
        <v>118</v>
      </c>
      <c r="D9" s="32"/>
      <c r="E9" s="73"/>
      <c r="F9" s="32"/>
      <c r="G9" s="32"/>
      <c r="H9" s="32"/>
      <c r="I9" s="32"/>
      <c r="J9" s="32"/>
      <c r="K9" s="70" t="s">
        <v>128</v>
      </c>
      <c r="L9" s="32"/>
      <c r="M9" s="32"/>
      <c r="N9" s="27">
        <v>1622.8443572373794</v>
      </c>
      <c r="O9" s="32"/>
      <c r="P9" s="33"/>
      <c r="R9" s="92"/>
      <c r="S9" s="82"/>
      <c r="T9" s="82"/>
      <c r="U9" s="82"/>
      <c r="V9" s="82"/>
      <c r="W9" s="82"/>
      <c r="X9" s="82"/>
      <c r="Y9" s="82"/>
      <c r="Z9" s="82"/>
      <c r="AA9" s="82"/>
      <c r="AB9" s="82"/>
      <c r="AC9" s="82"/>
      <c r="AD9" s="82"/>
      <c r="AE9" s="82"/>
      <c r="AF9" s="82"/>
      <c r="AG9" s="82"/>
      <c r="AH9" s="88"/>
    </row>
    <row r="10" spans="2:34" ht="12.75">
      <c r="B10" s="40"/>
      <c r="C10" s="38" t="s">
        <v>41</v>
      </c>
      <c r="D10" s="38" t="s">
        <v>40</v>
      </c>
      <c r="E10" s="38" t="s">
        <v>52</v>
      </c>
      <c r="F10" s="38" t="s">
        <v>48</v>
      </c>
      <c r="G10" s="38" t="s">
        <v>49</v>
      </c>
      <c r="H10" s="38" t="s">
        <v>50</v>
      </c>
      <c r="I10" s="38"/>
      <c r="J10" s="32"/>
      <c r="K10" s="70" t="s">
        <v>126</v>
      </c>
      <c r="L10" s="32"/>
      <c r="M10" s="32"/>
      <c r="N10" s="144">
        <f>N9*(1/N8+100/I39-1)</f>
        <v>1565.7486464116196</v>
      </c>
      <c r="O10" s="32"/>
      <c r="P10" s="33"/>
      <c r="R10" s="92"/>
      <c r="S10" s="82"/>
      <c r="T10" s="82"/>
      <c r="U10" s="82"/>
      <c r="V10" s="82"/>
      <c r="W10" s="82"/>
      <c r="X10" s="82"/>
      <c r="Y10" s="82"/>
      <c r="Z10" s="82"/>
      <c r="AA10" s="82"/>
      <c r="AB10" s="82"/>
      <c r="AC10" s="82"/>
      <c r="AD10" s="82"/>
      <c r="AE10" s="82"/>
      <c r="AF10" s="82"/>
      <c r="AG10" s="82"/>
      <c r="AH10" s="88"/>
    </row>
    <row r="11" spans="2:34" ht="12.75">
      <c r="B11" s="40"/>
      <c r="C11" s="26">
        <v>10</v>
      </c>
      <c r="D11" s="28">
        <v>20</v>
      </c>
      <c r="E11" s="28">
        <v>75</v>
      </c>
      <c r="F11" s="29">
        <v>3.5</v>
      </c>
      <c r="G11" s="29">
        <v>7.5</v>
      </c>
      <c r="H11" s="29">
        <v>3.6695075563417805</v>
      </c>
      <c r="I11" s="31"/>
      <c r="J11" s="32"/>
      <c r="K11" s="70" t="s">
        <v>117</v>
      </c>
      <c r="L11" s="32"/>
      <c r="M11" s="69"/>
      <c r="N11" s="29">
        <v>7.977138232624562</v>
      </c>
      <c r="O11" s="32"/>
      <c r="P11" s="33"/>
      <c r="R11" s="92"/>
      <c r="S11" s="82"/>
      <c r="T11" s="82"/>
      <c r="U11" s="82"/>
      <c r="V11" s="82"/>
      <c r="W11" s="82"/>
      <c r="X11" s="82"/>
      <c r="Y11" s="82"/>
      <c r="Z11" s="82"/>
      <c r="AA11" s="82"/>
      <c r="AB11" s="82"/>
      <c r="AC11" s="82"/>
      <c r="AD11" s="82"/>
      <c r="AE11" s="82"/>
      <c r="AF11" s="82"/>
      <c r="AG11" s="82"/>
      <c r="AH11" s="88"/>
    </row>
    <row r="12" spans="2:34" ht="13.5" thickBot="1">
      <c r="B12" s="40"/>
      <c r="C12" s="31"/>
      <c r="D12" s="31"/>
      <c r="E12" s="31"/>
      <c r="F12" s="31"/>
      <c r="G12" s="32"/>
      <c r="H12" s="32"/>
      <c r="I12" s="32"/>
      <c r="J12" s="32"/>
      <c r="K12" s="31"/>
      <c r="L12" s="31"/>
      <c r="M12" s="31"/>
      <c r="N12" s="31"/>
      <c r="O12" s="32"/>
      <c r="P12" s="33"/>
      <c r="R12" s="92"/>
      <c r="S12" s="82"/>
      <c r="T12" s="341" t="s">
        <v>119</v>
      </c>
      <c r="U12" s="342"/>
      <c r="V12" s="342"/>
      <c r="W12" s="342"/>
      <c r="X12" s="342"/>
      <c r="Y12" s="342"/>
      <c r="Z12" s="342"/>
      <c r="AA12" s="342"/>
      <c r="AB12" s="342"/>
      <c r="AC12" s="342"/>
      <c r="AD12" s="342"/>
      <c r="AE12" s="342"/>
      <c r="AF12" s="342"/>
      <c r="AG12" s="343"/>
      <c r="AH12" s="88"/>
    </row>
    <row r="13" spans="2:34" ht="17.25" customHeight="1" thickBot="1" thickTop="1">
      <c r="B13" s="40"/>
      <c r="C13" s="75"/>
      <c r="D13" s="75"/>
      <c r="E13" s="76"/>
      <c r="F13" s="32"/>
      <c r="G13" s="328" t="s">
        <v>116</v>
      </c>
      <c r="H13" s="329"/>
      <c r="I13" s="329"/>
      <c r="J13" s="329"/>
      <c r="K13" s="329"/>
      <c r="L13" s="329"/>
      <c r="M13" s="329"/>
      <c r="N13" s="329"/>
      <c r="O13" s="330"/>
      <c r="P13" s="33"/>
      <c r="R13" s="92"/>
      <c r="S13" s="82"/>
      <c r="T13" s="82"/>
      <c r="U13" s="82"/>
      <c r="V13" s="82"/>
      <c r="W13" s="82"/>
      <c r="X13" s="82"/>
      <c r="Y13" s="82"/>
      <c r="Z13" s="82"/>
      <c r="AA13" s="82"/>
      <c r="AB13" s="82"/>
      <c r="AC13" s="82"/>
      <c r="AD13" s="82"/>
      <c r="AE13" s="82"/>
      <c r="AF13" s="82"/>
      <c r="AG13" s="82"/>
      <c r="AH13" s="88"/>
    </row>
    <row r="14" spans="2:34" ht="13.5" customHeight="1" thickTop="1">
      <c r="B14" s="40"/>
      <c r="C14" s="32"/>
      <c r="D14" s="32"/>
      <c r="E14" s="32"/>
      <c r="F14" s="108"/>
      <c r="G14" s="331" t="s">
        <v>96</v>
      </c>
      <c r="H14" s="332"/>
      <c r="I14" s="333"/>
      <c r="J14" s="331" t="s">
        <v>89</v>
      </c>
      <c r="K14" s="332"/>
      <c r="L14" s="333"/>
      <c r="M14" s="331" t="s">
        <v>90</v>
      </c>
      <c r="N14" s="332"/>
      <c r="O14" s="333"/>
      <c r="P14" s="103"/>
      <c r="R14" s="92"/>
      <c r="S14" s="82"/>
      <c r="T14" s="84" t="s">
        <v>79</v>
      </c>
      <c r="U14" s="84" t="s">
        <v>81</v>
      </c>
      <c r="V14" s="325" t="s">
        <v>80</v>
      </c>
      <c r="W14" s="326"/>
      <c r="X14" s="327"/>
      <c r="Y14" s="82"/>
      <c r="Z14" s="325" t="s">
        <v>91</v>
      </c>
      <c r="AA14" s="326"/>
      <c r="AB14" s="327"/>
      <c r="AC14" s="82"/>
      <c r="AD14" s="325" t="s">
        <v>98</v>
      </c>
      <c r="AE14" s="326"/>
      <c r="AF14" s="327"/>
      <c r="AG14" s="82"/>
      <c r="AH14" s="88"/>
    </row>
    <row r="15" spans="2:34" ht="12.75" customHeight="1">
      <c r="B15" s="40"/>
      <c r="C15" s="113" t="s">
        <v>2</v>
      </c>
      <c r="D15" s="113" t="s">
        <v>0</v>
      </c>
      <c r="E15" s="113" t="s">
        <v>1</v>
      </c>
      <c r="F15" s="114" t="s">
        <v>3</v>
      </c>
      <c r="G15" s="115" t="s">
        <v>44</v>
      </c>
      <c r="H15" s="113" t="s">
        <v>42</v>
      </c>
      <c r="I15" s="114" t="s">
        <v>43</v>
      </c>
      <c r="J15" s="113" t="s">
        <v>44</v>
      </c>
      <c r="K15" s="113" t="s">
        <v>42</v>
      </c>
      <c r="L15" s="114" t="s">
        <v>43</v>
      </c>
      <c r="M15" s="115" t="s">
        <v>44</v>
      </c>
      <c r="N15" s="113" t="s">
        <v>42</v>
      </c>
      <c r="O15" s="114" t="s">
        <v>43</v>
      </c>
      <c r="P15" s="39"/>
      <c r="R15" s="92"/>
      <c r="S15" s="82"/>
      <c r="T15" s="84" t="s">
        <v>77</v>
      </c>
      <c r="U15" s="84"/>
      <c r="V15" s="89" t="s">
        <v>44</v>
      </c>
      <c r="W15" s="84" t="s">
        <v>42</v>
      </c>
      <c r="X15" s="90" t="s">
        <v>43</v>
      </c>
      <c r="Y15" s="91" t="s">
        <v>82</v>
      </c>
      <c r="Z15" s="89" t="s">
        <v>44</v>
      </c>
      <c r="AA15" s="84" t="s">
        <v>42</v>
      </c>
      <c r="AB15" s="90" t="s">
        <v>43</v>
      </c>
      <c r="AC15" s="91" t="s">
        <v>82</v>
      </c>
      <c r="AD15" s="89" t="s">
        <v>44</v>
      </c>
      <c r="AE15" s="84" t="s">
        <v>42</v>
      </c>
      <c r="AF15" s="90" t="s">
        <v>43</v>
      </c>
      <c r="AG15" s="91" t="s">
        <v>82</v>
      </c>
      <c r="AH15" s="88"/>
    </row>
    <row r="16" spans="2:34" ht="12.75">
      <c r="B16" s="40"/>
      <c r="C16" s="147">
        <v>1</v>
      </c>
      <c r="D16" s="145">
        <v>1.05</v>
      </c>
      <c r="E16" s="148">
        <v>25400</v>
      </c>
      <c r="F16" s="109"/>
      <c r="G16" s="45"/>
      <c r="H16" s="45"/>
      <c r="I16" s="159">
        <v>100</v>
      </c>
      <c r="J16" s="45"/>
      <c r="K16" s="44"/>
      <c r="L16" s="159">
        <v>100</v>
      </c>
      <c r="M16" s="45"/>
      <c r="N16" s="44"/>
      <c r="O16" s="159">
        <v>100</v>
      </c>
      <c r="P16" s="49"/>
      <c r="R16" s="92"/>
      <c r="S16" s="82"/>
      <c r="T16" s="85" t="str">
        <f>IF((I16-L16)&gt;3,(O16-I16)/(I16-L16)," ")</f>
        <v> </v>
      </c>
      <c r="U16" s="86"/>
      <c r="V16" s="94"/>
      <c r="W16" s="93"/>
      <c r="X16" s="48">
        <f aca="true" t="shared" si="0" ref="X16:X34">X17+W17</f>
        <v>100</v>
      </c>
      <c r="Y16" s="77">
        <f aca="true" t="shared" si="1" ref="Y16:Y35">X16-I16</f>
        <v>0</v>
      </c>
      <c r="Z16" s="94"/>
      <c r="AA16" s="93"/>
      <c r="AB16" s="48">
        <f>AB17+AA17</f>
        <v>100.00000000000003</v>
      </c>
      <c r="AC16" s="77">
        <f aca="true" t="shared" si="2" ref="AC16:AC35">AB16-O16</f>
        <v>0</v>
      </c>
      <c r="AD16" s="94"/>
      <c r="AE16" s="93"/>
      <c r="AF16" s="48">
        <f>AF17+AE17</f>
        <v>100</v>
      </c>
      <c r="AG16" s="77">
        <f aca="true" t="shared" si="3" ref="AG16:AG35">AF16-L16</f>
        <v>0</v>
      </c>
      <c r="AH16" s="95"/>
    </row>
    <row r="17" spans="2:34" ht="12.75">
      <c r="B17" s="40"/>
      <c r="C17" s="147">
        <f aca="true" t="shared" si="4" ref="C17:C35">C16+1</f>
        <v>2</v>
      </c>
      <c r="D17" s="145">
        <v>0.742</v>
      </c>
      <c r="E17" s="148">
        <v>19050</v>
      </c>
      <c r="F17" s="161">
        <f aca="true" t="shared" si="5" ref="F17:F35">(E16*E17)^0.5</f>
        <v>21997.04525612474</v>
      </c>
      <c r="G17" s="164">
        <f aca="true" t="shared" si="6" ref="G17:G36">(H17/100)*$N$9</f>
        <v>0</v>
      </c>
      <c r="H17" s="150">
        <f aca="true" t="shared" si="7" ref="H17:H36">I16-I17</f>
        <v>0</v>
      </c>
      <c r="I17" s="158">
        <v>100</v>
      </c>
      <c r="J17" s="154">
        <f aca="true" t="shared" si="8" ref="J17:J36">(K17/100)*$N$9*$T$40/(1+$T$40)</f>
        <v>0</v>
      </c>
      <c r="K17" s="150">
        <f aca="true" t="shared" si="9" ref="K17:K36">L16-L17</f>
        <v>0</v>
      </c>
      <c r="L17" s="158">
        <v>100</v>
      </c>
      <c r="M17" s="154">
        <f aca="true" t="shared" si="10" ref="M17:M36">(N17/100)*$N$9/(1+$T$40)</f>
        <v>0</v>
      </c>
      <c r="N17" s="150">
        <f aca="true" t="shared" si="11" ref="N17:N36">O16-O17</f>
        <v>0</v>
      </c>
      <c r="O17" s="158">
        <v>100</v>
      </c>
      <c r="P17" s="49"/>
      <c r="R17" s="92"/>
      <c r="S17" s="82"/>
      <c r="T17" s="46" t="str">
        <f aca="true" t="shared" si="12" ref="T17:T35">IF((I17-L17)&gt;5,(O17-I17)/(I17-L17)," ")</f>
        <v> </v>
      </c>
      <c r="U17" s="78">
        <f aca="true" t="shared" si="13" ref="U17:U36">((1+$T$40)*H17-$T$40*K17-N17)/((1+$T$40)^2/2/$I$40+$T$40^2/2/$L$40+1/2/$O$40)</f>
        <v>0</v>
      </c>
      <c r="V17" s="22">
        <f aca="true" t="shared" si="14" ref="V17:V36">(W17/100)*$N$9</f>
        <v>0</v>
      </c>
      <c r="W17" s="23">
        <f aca="true" t="shared" si="15" ref="W17:W36">H17-U17*(1+$T$40)/2/$I$40</f>
        <v>0</v>
      </c>
      <c r="X17" s="24">
        <f t="shared" si="0"/>
        <v>100</v>
      </c>
      <c r="Y17" s="77">
        <f t="shared" si="1"/>
        <v>0</v>
      </c>
      <c r="Z17" s="22">
        <f aca="true" t="shared" si="16" ref="Z17:Z36">(AA17/100)*$N$9/(1+$T$40)</f>
        <v>0</v>
      </c>
      <c r="AA17" s="23">
        <f aca="true" t="shared" si="17" ref="AA17:AA36">N17+U17/2/$O$40</f>
        <v>0</v>
      </c>
      <c r="AB17" s="24">
        <f aca="true" t="shared" si="18" ref="AB17:AB33">AB18+AA18</f>
        <v>100.00000000000003</v>
      </c>
      <c r="AC17" s="77">
        <f t="shared" si="2"/>
        <v>0</v>
      </c>
      <c r="AD17" s="22">
        <f aca="true" t="shared" si="19" ref="AD17:AD36">(AE17/100)*$T$40*$N$9/(1+$T$40)</f>
        <v>0</v>
      </c>
      <c r="AE17" s="23">
        <f aca="true" t="shared" si="20" ref="AE17:AE36">K17+U17*$T$40/2/$L$40</f>
        <v>0</v>
      </c>
      <c r="AF17" s="24">
        <f aca="true" t="shared" si="21" ref="AF17:AF33">AF18+AE18</f>
        <v>100</v>
      </c>
      <c r="AG17" s="77">
        <f t="shared" si="3"/>
        <v>0</v>
      </c>
      <c r="AH17" s="95"/>
    </row>
    <row r="18" spans="2:34" ht="12.75">
      <c r="B18" s="40"/>
      <c r="C18" s="147">
        <f t="shared" si="4"/>
        <v>3</v>
      </c>
      <c r="D18" s="145">
        <v>0.525</v>
      </c>
      <c r="E18" s="148">
        <v>12700</v>
      </c>
      <c r="F18" s="162">
        <f t="shared" si="5"/>
        <v>15554.259866673181</v>
      </c>
      <c r="G18" s="165">
        <f t="shared" si="6"/>
        <v>18.17203889266602</v>
      </c>
      <c r="H18" s="151">
        <f t="shared" si="7"/>
        <v>1.1197647397068238</v>
      </c>
      <c r="I18" s="158">
        <v>98.88023526029318</v>
      </c>
      <c r="J18" s="155">
        <f t="shared" si="8"/>
        <v>18.172038648925582</v>
      </c>
      <c r="K18" s="151">
        <f t="shared" si="9"/>
        <v>1.4860467154003913</v>
      </c>
      <c r="L18" s="158">
        <v>98.51395328459961</v>
      </c>
      <c r="M18" s="155">
        <f t="shared" si="10"/>
        <v>0</v>
      </c>
      <c r="N18" s="151">
        <f t="shared" si="11"/>
        <v>0</v>
      </c>
      <c r="O18" s="158">
        <v>100</v>
      </c>
      <c r="P18" s="49"/>
      <c r="R18" s="92"/>
      <c r="S18" s="82"/>
      <c r="T18" s="47" t="str">
        <f t="shared" si="12"/>
        <v> </v>
      </c>
      <c r="U18" s="78">
        <f t="shared" si="13"/>
        <v>2.0870575906678717E-09</v>
      </c>
      <c r="V18" s="22">
        <f t="shared" si="14"/>
        <v>18.17203882395946</v>
      </c>
      <c r="W18" s="23">
        <f t="shared" si="15"/>
        <v>1.1197647354731115</v>
      </c>
      <c r="X18" s="24">
        <f t="shared" si="0"/>
        <v>98.88023526452689</v>
      </c>
      <c r="Y18" s="77">
        <f t="shared" si="1"/>
        <v>4.233712047607696E-09</v>
      </c>
      <c r="Z18" s="22">
        <f t="shared" si="16"/>
        <v>5.420928584645177E-09</v>
      </c>
      <c r="AA18" s="23">
        <f t="shared" si="17"/>
        <v>1.3552322017323842E-09</v>
      </c>
      <c r="AB18" s="24">
        <f t="shared" si="18"/>
        <v>99.9999999986448</v>
      </c>
      <c r="AC18" s="77">
        <f t="shared" si="2"/>
        <v>-1.3552039490605239E-09</v>
      </c>
      <c r="AD18" s="22">
        <f t="shared" si="19"/>
        <v>18.17203881853853</v>
      </c>
      <c r="AE18" s="23">
        <f t="shared" si="20"/>
        <v>1.486046729270754</v>
      </c>
      <c r="AF18" s="24">
        <f t="shared" si="21"/>
        <v>98.51395327072925</v>
      </c>
      <c r="AG18" s="77">
        <f t="shared" si="3"/>
        <v>-1.3870362636225764E-08</v>
      </c>
      <c r="AH18" s="95"/>
    </row>
    <row r="19" spans="2:34" ht="12.75">
      <c r="B19" s="40"/>
      <c r="C19" s="147">
        <f t="shared" si="4"/>
        <v>4</v>
      </c>
      <c r="D19" s="145">
        <v>0.371</v>
      </c>
      <c r="E19" s="148">
        <v>9500</v>
      </c>
      <c r="F19" s="162">
        <f t="shared" si="5"/>
        <v>10984.079387914127</v>
      </c>
      <c r="G19" s="165">
        <f t="shared" si="6"/>
        <v>41.49004904277894</v>
      </c>
      <c r="H19" s="151">
        <f t="shared" si="7"/>
        <v>2.5566252769556286</v>
      </c>
      <c r="I19" s="158">
        <v>96.32360998333755</v>
      </c>
      <c r="J19" s="155">
        <f t="shared" si="8"/>
        <v>41.490048486275526</v>
      </c>
      <c r="K19" s="151">
        <f t="shared" si="9"/>
        <v>3.3929132259730324</v>
      </c>
      <c r="L19" s="158">
        <v>95.12104005862658</v>
      </c>
      <c r="M19" s="155">
        <f t="shared" si="10"/>
        <v>0</v>
      </c>
      <c r="N19" s="151">
        <f t="shared" si="11"/>
        <v>0</v>
      </c>
      <c r="O19" s="158">
        <v>100</v>
      </c>
      <c r="P19" s="49"/>
      <c r="R19" s="92"/>
      <c r="S19" s="82"/>
      <c r="T19" s="47" t="str">
        <f t="shared" si="12"/>
        <v> </v>
      </c>
      <c r="U19" s="78">
        <f t="shared" si="13"/>
        <v>4.765129181067157E-09</v>
      </c>
      <c r="V19" s="22">
        <f t="shared" si="14"/>
        <v>41.49004888590947</v>
      </c>
      <c r="W19" s="23">
        <f t="shared" si="15"/>
        <v>2.5566252672892995</v>
      </c>
      <c r="X19" s="24">
        <f t="shared" si="0"/>
        <v>96.32360999723758</v>
      </c>
      <c r="Y19" s="77">
        <f t="shared" si="1"/>
        <v>1.3900034900871105E-08</v>
      </c>
      <c r="Z19" s="22">
        <f t="shared" si="16"/>
        <v>1.2376958404347429E-08</v>
      </c>
      <c r="AA19" s="23">
        <f t="shared" si="17"/>
        <v>3.094239727965686E-09</v>
      </c>
      <c r="AB19" s="24">
        <f t="shared" si="18"/>
        <v>99.99999999555055</v>
      </c>
      <c r="AC19" s="77">
        <f t="shared" si="2"/>
        <v>-4.449447033039178E-09</v>
      </c>
      <c r="AD19" s="22">
        <f t="shared" si="19"/>
        <v>41.49004887353251</v>
      </c>
      <c r="AE19" s="23">
        <f t="shared" si="20"/>
        <v>3.392913257641574</v>
      </c>
      <c r="AF19" s="24">
        <f t="shared" si="21"/>
        <v>95.12104001308768</v>
      </c>
      <c r="AG19" s="77">
        <f t="shared" si="3"/>
        <v>-4.553889709768555E-08</v>
      </c>
      <c r="AH19" s="95"/>
    </row>
    <row r="20" spans="2:34" ht="12.75">
      <c r="B20" s="40"/>
      <c r="C20" s="147">
        <f t="shared" si="4"/>
        <v>5</v>
      </c>
      <c r="D20" s="145">
        <v>3</v>
      </c>
      <c r="E20" s="148">
        <v>6700</v>
      </c>
      <c r="F20" s="162">
        <f t="shared" si="5"/>
        <v>7978.095010715278</v>
      </c>
      <c r="G20" s="165">
        <f t="shared" si="6"/>
        <v>40.75642415326784</v>
      </c>
      <c r="H20" s="151">
        <f t="shared" si="7"/>
        <v>2.5114191617641524</v>
      </c>
      <c r="I20" s="158">
        <v>93.8121908215734</v>
      </c>
      <c r="J20" s="155">
        <f t="shared" si="8"/>
        <v>40.756423606604386</v>
      </c>
      <c r="K20" s="151">
        <f t="shared" si="9"/>
        <v>3.3329199107576386</v>
      </c>
      <c r="L20" s="158">
        <v>91.78812014786894</v>
      </c>
      <c r="M20" s="155">
        <f t="shared" si="10"/>
        <v>0</v>
      </c>
      <c r="N20" s="151">
        <f t="shared" si="11"/>
        <v>0</v>
      </c>
      <c r="O20" s="158">
        <v>100</v>
      </c>
      <c r="P20" s="49"/>
      <c r="R20" s="92"/>
      <c r="S20" s="82"/>
      <c r="T20" s="47" t="str">
        <f t="shared" si="12"/>
        <v> </v>
      </c>
      <c r="U20" s="78">
        <f t="shared" si="13"/>
        <v>4.6808733887636464E-09</v>
      </c>
      <c r="V20" s="22">
        <f t="shared" si="14"/>
        <v>40.75642399917209</v>
      </c>
      <c r="W20" s="23">
        <f t="shared" si="15"/>
        <v>2.511419152268741</v>
      </c>
      <c r="X20" s="24">
        <f t="shared" si="0"/>
        <v>93.81219084496884</v>
      </c>
      <c r="Y20" s="77">
        <f t="shared" si="1"/>
        <v>2.339544380447478E-08</v>
      </c>
      <c r="Z20" s="22">
        <f t="shared" si="16"/>
        <v>1.2158112199545835E-08</v>
      </c>
      <c r="AA20" s="23">
        <f t="shared" si="17"/>
        <v>3.0395281745218482E-09</v>
      </c>
      <c r="AB20" s="24">
        <f t="shared" si="18"/>
        <v>99.99999999251102</v>
      </c>
      <c r="AC20" s="77">
        <f t="shared" si="2"/>
        <v>-7.488978326364304E-09</v>
      </c>
      <c r="AD20" s="22">
        <f t="shared" si="19"/>
        <v>40.756423987013974</v>
      </c>
      <c r="AE20" s="23">
        <f t="shared" si="20"/>
        <v>3.332919941866225</v>
      </c>
      <c r="AF20" s="24">
        <f t="shared" si="21"/>
        <v>91.78812007122146</v>
      </c>
      <c r="AG20" s="77">
        <f t="shared" si="3"/>
        <v>-7.664748125080223E-08</v>
      </c>
      <c r="AH20" s="95"/>
    </row>
    <row r="21" spans="2:34" ht="12.75">
      <c r="B21" s="40"/>
      <c r="C21" s="147">
        <f t="shared" si="4"/>
        <v>6</v>
      </c>
      <c r="D21" s="145">
        <v>4</v>
      </c>
      <c r="E21" s="148">
        <v>4750</v>
      </c>
      <c r="F21" s="162">
        <f t="shared" si="5"/>
        <v>5641.365083027334</v>
      </c>
      <c r="G21" s="165">
        <f t="shared" si="6"/>
        <v>37.00606757914637</v>
      </c>
      <c r="H21" s="151">
        <f t="shared" si="7"/>
        <v>2.280321425410321</v>
      </c>
      <c r="I21" s="158">
        <v>91.53186939616307</v>
      </c>
      <c r="J21" s="155">
        <f t="shared" si="8"/>
        <v>37.00606708278625</v>
      </c>
      <c r="K21" s="151">
        <f t="shared" si="9"/>
        <v>3.0262286747619527</v>
      </c>
      <c r="L21" s="158">
        <v>88.76189147310699</v>
      </c>
      <c r="M21" s="155">
        <f t="shared" si="10"/>
        <v>0</v>
      </c>
      <c r="N21" s="151">
        <f t="shared" si="11"/>
        <v>0</v>
      </c>
      <c r="O21" s="158">
        <v>100</v>
      </c>
      <c r="P21" s="49"/>
      <c r="R21" s="92"/>
      <c r="S21" s="82"/>
      <c r="T21" s="47" t="str">
        <f t="shared" si="12"/>
        <v> </v>
      </c>
      <c r="U21" s="78">
        <f t="shared" si="13"/>
        <v>4.250144831522793E-09</v>
      </c>
      <c r="V21" s="22">
        <f t="shared" si="14"/>
        <v>37.006067439230335</v>
      </c>
      <c r="W21" s="23">
        <f t="shared" si="15"/>
        <v>2.280321416788666</v>
      </c>
      <c r="X21" s="24">
        <f t="shared" si="0"/>
        <v>91.53186942818017</v>
      </c>
      <c r="Y21" s="77">
        <f t="shared" si="1"/>
        <v>3.201709830591426E-08</v>
      </c>
      <c r="Z21" s="22">
        <f t="shared" si="16"/>
        <v>1.1039336772068189E-08</v>
      </c>
      <c r="AA21" s="23">
        <f t="shared" si="17"/>
        <v>2.759834306183632E-09</v>
      </c>
      <c r="AB21" s="24">
        <f t="shared" si="18"/>
        <v>99.99999998975119</v>
      </c>
      <c r="AC21" s="77">
        <f t="shared" si="2"/>
        <v>-1.0248811577184824E-08</v>
      </c>
      <c r="AD21" s="22">
        <f t="shared" si="19"/>
        <v>37.006067428191</v>
      </c>
      <c r="AE21" s="23">
        <f t="shared" si="20"/>
        <v>3.026228703007963</v>
      </c>
      <c r="AF21" s="24">
        <f t="shared" si="21"/>
        <v>88.7618913682135</v>
      </c>
      <c r="AG21" s="77">
        <f t="shared" si="3"/>
        <v>-1.0489348767350748E-07</v>
      </c>
      <c r="AH21" s="95"/>
    </row>
    <row r="22" spans="2:34" ht="12.75">
      <c r="B22" s="40"/>
      <c r="C22" s="147">
        <f t="shared" si="4"/>
        <v>7</v>
      </c>
      <c r="D22" s="145">
        <v>6</v>
      </c>
      <c r="E22" s="148">
        <v>3350</v>
      </c>
      <c r="F22" s="162">
        <f t="shared" si="5"/>
        <v>3989.047505357639</v>
      </c>
      <c r="G22" s="165">
        <f t="shared" si="6"/>
        <v>38.53199169971897</v>
      </c>
      <c r="H22" s="151">
        <f t="shared" si="7"/>
        <v>2.374349180676404</v>
      </c>
      <c r="I22" s="158">
        <v>89.15752021548667</v>
      </c>
      <c r="J22" s="155">
        <f t="shared" si="8"/>
        <v>38.53199118289162</v>
      </c>
      <c r="K22" s="151">
        <f t="shared" si="9"/>
        <v>3.151013490638732</v>
      </c>
      <c r="L22" s="158">
        <v>85.61087798246825</v>
      </c>
      <c r="M22" s="155">
        <f t="shared" si="10"/>
        <v>0</v>
      </c>
      <c r="N22" s="151">
        <f t="shared" si="11"/>
        <v>0</v>
      </c>
      <c r="O22" s="158">
        <v>100</v>
      </c>
      <c r="P22" s="49"/>
      <c r="R22" s="92"/>
      <c r="S22" s="82"/>
      <c r="T22" s="47" t="str">
        <f t="shared" si="12"/>
        <v> </v>
      </c>
      <c r="U22" s="78">
        <f t="shared" si="13"/>
        <v>4.4253979138127336E-09</v>
      </c>
      <c r="V22" s="22">
        <f t="shared" si="14"/>
        <v>38.53199155403355</v>
      </c>
      <c r="W22" s="23">
        <f t="shared" si="15"/>
        <v>2.374349171699239</v>
      </c>
      <c r="X22" s="24">
        <f t="shared" si="0"/>
        <v>89.15752025648094</v>
      </c>
      <c r="Y22" s="77">
        <f t="shared" si="1"/>
        <v>4.099426575976395E-08</v>
      </c>
      <c r="Z22" s="22">
        <f t="shared" si="16"/>
        <v>1.1494539564545368E-08</v>
      </c>
      <c r="AA22" s="23">
        <f t="shared" si="17"/>
        <v>2.8736350089693076E-09</v>
      </c>
      <c r="AB22" s="24">
        <f t="shared" si="18"/>
        <v>99.99999998687755</v>
      </c>
      <c r="AC22" s="77">
        <f t="shared" si="2"/>
        <v>-1.3122445352564682E-08</v>
      </c>
      <c r="AD22" s="22">
        <f t="shared" si="19"/>
        <v>38.53199154253901</v>
      </c>
      <c r="AE22" s="23">
        <f t="shared" si="20"/>
        <v>3.151013520049456</v>
      </c>
      <c r="AF22" s="24">
        <f t="shared" si="21"/>
        <v>85.61087784816404</v>
      </c>
      <c r="AG22" s="77">
        <f t="shared" si="3"/>
        <v>-1.3430421574867069E-07</v>
      </c>
      <c r="AH22" s="95"/>
    </row>
    <row r="23" spans="2:34" ht="12.75">
      <c r="B23" s="40"/>
      <c r="C23" s="147">
        <f t="shared" si="4"/>
        <v>8</v>
      </c>
      <c r="D23" s="145">
        <v>8</v>
      </c>
      <c r="E23" s="148">
        <v>2360</v>
      </c>
      <c r="F23" s="162">
        <f t="shared" si="5"/>
        <v>2811.761014026619</v>
      </c>
      <c r="G23" s="165">
        <f t="shared" si="6"/>
        <v>44.13530114491728</v>
      </c>
      <c r="H23" s="151">
        <f t="shared" si="7"/>
        <v>2.719626250545076</v>
      </c>
      <c r="I23" s="158">
        <v>86.4378939649416</v>
      </c>
      <c r="J23" s="155">
        <f t="shared" si="8"/>
        <v>44.13530055293301</v>
      </c>
      <c r="K23" s="151">
        <f t="shared" si="9"/>
        <v>3.609232826707256</v>
      </c>
      <c r="L23" s="158">
        <v>82.001645155761</v>
      </c>
      <c r="M23" s="155">
        <f t="shared" si="10"/>
        <v>0</v>
      </c>
      <c r="N23" s="151">
        <f t="shared" si="11"/>
        <v>0</v>
      </c>
      <c r="O23" s="158">
        <v>100</v>
      </c>
      <c r="P23" s="49"/>
      <c r="R23" s="92"/>
      <c r="S23" s="82"/>
      <c r="T23" s="47" t="str">
        <f t="shared" si="12"/>
        <v> </v>
      </c>
      <c r="U23" s="78">
        <f t="shared" si="13"/>
        <v>5.068938404840331E-09</v>
      </c>
      <c r="V23" s="22">
        <f t="shared" si="14"/>
        <v>44.13530097804632</v>
      </c>
      <c r="W23" s="23">
        <f t="shared" si="15"/>
        <v>2.719626240262453</v>
      </c>
      <c r="X23" s="24">
        <f t="shared" si="0"/>
        <v>86.43789401621848</v>
      </c>
      <c r="Y23" s="77">
        <f t="shared" si="1"/>
        <v>5.127688496031624E-08</v>
      </c>
      <c r="Z23" s="22">
        <f t="shared" si="16"/>
        <v>1.3166073238933205E-08</v>
      </c>
      <c r="AA23" s="23">
        <f t="shared" si="17"/>
        <v>3.2915184447015133E-09</v>
      </c>
      <c r="AB23" s="24">
        <f t="shared" si="18"/>
        <v>99.99999998358604</v>
      </c>
      <c r="AC23" s="77">
        <f t="shared" si="2"/>
        <v>-1.641396352169977E-08</v>
      </c>
      <c r="AD23" s="22">
        <f t="shared" si="19"/>
        <v>44.13530096488025</v>
      </c>
      <c r="AE23" s="23">
        <f t="shared" si="20"/>
        <v>3.609232860394881</v>
      </c>
      <c r="AF23" s="24">
        <f t="shared" si="21"/>
        <v>82.00164498776915</v>
      </c>
      <c r="AG23" s="77">
        <f t="shared" si="3"/>
        <v>-1.6799184265892109E-07</v>
      </c>
      <c r="AH23" s="95"/>
    </row>
    <row r="24" spans="2:34" ht="12.75">
      <c r="B24" s="40"/>
      <c r="C24" s="147">
        <f t="shared" si="4"/>
        <v>9</v>
      </c>
      <c r="D24" s="145">
        <v>10</v>
      </c>
      <c r="E24" s="148">
        <v>1700</v>
      </c>
      <c r="F24" s="162">
        <f t="shared" si="5"/>
        <v>2002.9977533686852</v>
      </c>
      <c r="G24" s="165">
        <f t="shared" si="6"/>
        <v>51.208139338301216</v>
      </c>
      <c r="H24" s="151">
        <f t="shared" si="7"/>
        <v>3.155455981340964</v>
      </c>
      <c r="I24" s="158">
        <v>83.28243798360063</v>
      </c>
      <c r="J24" s="155">
        <f t="shared" si="8"/>
        <v>51.20813865144955</v>
      </c>
      <c r="K24" s="151">
        <f t="shared" si="9"/>
        <v>4.187625159450874</v>
      </c>
      <c r="L24" s="158">
        <v>77.81401999631012</v>
      </c>
      <c r="M24" s="155">
        <f t="shared" si="10"/>
        <v>0</v>
      </c>
      <c r="N24" s="151">
        <f t="shared" si="11"/>
        <v>0</v>
      </c>
      <c r="O24" s="158">
        <v>100</v>
      </c>
      <c r="P24" s="49"/>
      <c r="R24" s="92"/>
      <c r="S24" s="82"/>
      <c r="T24" s="47">
        <f t="shared" si="12"/>
        <v>3.0571112258158943</v>
      </c>
      <c r="U24" s="78">
        <f t="shared" si="13"/>
        <v>5.88125203634823E-09</v>
      </c>
      <c r="V24" s="22">
        <f t="shared" si="14"/>
        <v>51.20813914468863</v>
      </c>
      <c r="W24" s="23">
        <f t="shared" si="15"/>
        <v>3.1554559694105175</v>
      </c>
      <c r="X24" s="24">
        <f t="shared" si="0"/>
        <v>83.28243804680797</v>
      </c>
      <c r="Y24" s="77">
        <f t="shared" si="1"/>
        <v>6.320733803022449E-08</v>
      </c>
      <c r="Z24" s="22">
        <f t="shared" si="16"/>
        <v>1.5275978688801002E-08</v>
      </c>
      <c r="AA24" s="23">
        <f t="shared" si="17"/>
        <v>3.818994828797552E-09</v>
      </c>
      <c r="AB24" s="24">
        <f t="shared" si="18"/>
        <v>99.99999997976704</v>
      </c>
      <c r="AC24" s="77">
        <f t="shared" si="2"/>
        <v>-2.0232960196153726E-08</v>
      </c>
      <c r="AD24" s="22">
        <f t="shared" si="19"/>
        <v>51.20813912941265</v>
      </c>
      <c r="AE24" s="23">
        <f t="shared" si="20"/>
        <v>4.18762519853705</v>
      </c>
      <c r="AF24" s="24">
        <f t="shared" si="21"/>
        <v>77.8140197892321</v>
      </c>
      <c r="AG24" s="77">
        <f t="shared" si="3"/>
        <v>-2.0707801695607486E-07</v>
      </c>
      <c r="AH24" s="95"/>
    </row>
    <row r="25" spans="2:34" ht="12.75">
      <c r="B25" s="40"/>
      <c r="C25" s="147">
        <f t="shared" si="4"/>
        <v>10</v>
      </c>
      <c r="D25" s="145">
        <v>14</v>
      </c>
      <c r="E25" s="148">
        <v>1180</v>
      </c>
      <c r="F25" s="162">
        <f t="shared" si="5"/>
        <v>1416.333294108417</v>
      </c>
      <c r="G25" s="165">
        <f t="shared" si="6"/>
        <v>66.97620215626853</v>
      </c>
      <c r="H25" s="151">
        <f t="shared" si="7"/>
        <v>4.127087225436966</v>
      </c>
      <c r="I25" s="158">
        <v>79.15535075816366</v>
      </c>
      <c r="J25" s="155">
        <f t="shared" si="8"/>
        <v>66.97620111872872</v>
      </c>
      <c r="K25" s="151">
        <f t="shared" si="9"/>
        <v>5.477082984762831</v>
      </c>
      <c r="L25" s="158">
        <v>72.33693701154729</v>
      </c>
      <c r="M25" s="155">
        <f t="shared" si="10"/>
        <v>1.3919196246614538E-07</v>
      </c>
      <c r="N25" s="151">
        <f t="shared" si="11"/>
        <v>3.479799204342271E-08</v>
      </c>
      <c r="O25" s="158">
        <v>99.99999996520201</v>
      </c>
      <c r="P25" s="49"/>
      <c r="R25" s="92"/>
      <c r="S25" s="82"/>
      <c r="T25" s="47">
        <f t="shared" si="12"/>
        <v>3.057111225815898</v>
      </c>
      <c r="U25" s="78">
        <f t="shared" si="13"/>
        <v>7.692214283151692E-09</v>
      </c>
      <c r="V25" s="22">
        <f t="shared" si="14"/>
        <v>66.97620190303854</v>
      </c>
      <c r="W25" s="23">
        <f t="shared" si="15"/>
        <v>4.127087209832882</v>
      </c>
      <c r="X25" s="24">
        <f t="shared" si="0"/>
        <v>79.15535083697509</v>
      </c>
      <c r="Y25" s="77">
        <f t="shared" si="1"/>
        <v>7.88114249417049E-08</v>
      </c>
      <c r="Z25" s="22">
        <f t="shared" si="16"/>
        <v>1.591717390057132E-07</v>
      </c>
      <c r="AA25" s="23">
        <f t="shared" si="17"/>
        <v>3.97929363831316E-08</v>
      </c>
      <c r="AB25" s="24">
        <f t="shared" si="18"/>
        <v>99.9999999399741</v>
      </c>
      <c r="AC25" s="77">
        <f t="shared" si="2"/>
        <v>-2.5227905098290648E-08</v>
      </c>
      <c r="AD25" s="22">
        <f t="shared" si="19"/>
        <v>66.9762017438668</v>
      </c>
      <c r="AE25" s="23">
        <f t="shared" si="20"/>
        <v>5.477083035884468</v>
      </c>
      <c r="AF25" s="24">
        <f t="shared" si="21"/>
        <v>72.33693675334764</v>
      </c>
      <c r="AG25" s="77">
        <f t="shared" si="3"/>
        <v>-2.581996483286275E-07</v>
      </c>
      <c r="AH25" s="95"/>
    </row>
    <row r="26" spans="2:34" ht="12.75">
      <c r="B26" s="40"/>
      <c r="C26" s="147">
        <f t="shared" si="4"/>
        <v>11</v>
      </c>
      <c r="D26" s="145">
        <v>20</v>
      </c>
      <c r="E26" s="148">
        <v>850</v>
      </c>
      <c r="F26" s="162">
        <f t="shared" si="5"/>
        <v>1001.4988766843426</v>
      </c>
      <c r="G26" s="165">
        <f t="shared" si="6"/>
        <v>78.82848906168583</v>
      </c>
      <c r="H26" s="151">
        <f t="shared" si="7"/>
        <v>4.857427559835628</v>
      </c>
      <c r="I26" s="158">
        <v>74.29792319832804</v>
      </c>
      <c r="J26" s="155">
        <f t="shared" si="8"/>
        <v>78.82777427507159</v>
      </c>
      <c r="K26" s="151">
        <f t="shared" si="9"/>
        <v>6.446263807100124</v>
      </c>
      <c r="L26" s="158">
        <v>65.89067320444717</v>
      </c>
      <c r="M26" s="155">
        <f t="shared" si="10"/>
        <v>0.000713729331388361</v>
      </c>
      <c r="N26" s="151">
        <f t="shared" si="11"/>
        <v>0.00017843234016368115</v>
      </c>
      <c r="O26" s="158">
        <v>99.99982153286184</v>
      </c>
      <c r="P26" s="49"/>
      <c r="R26" s="92"/>
      <c r="S26" s="82"/>
      <c r="T26" s="47">
        <f t="shared" si="12"/>
        <v>3.0571112258158943</v>
      </c>
      <c r="U26" s="78">
        <f t="shared" si="13"/>
        <v>9.053114862568413E-09</v>
      </c>
      <c r="V26" s="22">
        <f t="shared" si="14"/>
        <v>78.82848876365458</v>
      </c>
      <c r="W26" s="23">
        <f t="shared" si="15"/>
        <v>4.857427541470882</v>
      </c>
      <c r="X26" s="24">
        <f t="shared" si="0"/>
        <v>74.2979232955042</v>
      </c>
      <c r="Y26" s="77">
        <f t="shared" si="1"/>
        <v>9.717616933357931E-08</v>
      </c>
      <c r="Z26" s="22">
        <f t="shared" si="16"/>
        <v>0.0007137528459714553</v>
      </c>
      <c r="AA26" s="23">
        <f t="shared" si="17"/>
        <v>0.00017843821880969581</v>
      </c>
      <c r="AB26" s="24">
        <f t="shared" si="18"/>
        <v>99.99982150175529</v>
      </c>
      <c r="AC26" s="77">
        <f t="shared" si="2"/>
        <v>-3.110655200089241E-08</v>
      </c>
      <c r="AD26" s="22">
        <f t="shared" si="19"/>
        <v>78.82777501080862</v>
      </c>
      <c r="AE26" s="23">
        <f t="shared" si="20"/>
        <v>6.446263867266162</v>
      </c>
      <c r="AF26" s="24">
        <f t="shared" si="21"/>
        <v>65.89067288608148</v>
      </c>
      <c r="AG26" s="77">
        <f t="shared" si="3"/>
        <v>-3.183656929195422E-07</v>
      </c>
      <c r="AH26" s="95"/>
    </row>
    <row r="27" spans="2:34" ht="12.75">
      <c r="B27" s="40"/>
      <c r="C27" s="147">
        <f t="shared" si="4"/>
        <v>12</v>
      </c>
      <c r="D27" s="145">
        <v>28</v>
      </c>
      <c r="E27" s="148">
        <v>600</v>
      </c>
      <c r="F27" s="162">
        <f t="shared" si="5"/>
        <v>714.142842854285</v>
      </c>
      <c r="G27" s="165">
        <f t="shared" si="6"/>
        <v>100.60560542003438</v>
      </c>
      <c r="H27" s="151">
        <f t="shared" si="7"/>
        <v>6.1993379076289585</v>
      </c>
      <c r="I27" s="158">
        <v>68.09858529069908</v>
      </c>
      <c r="J27" s="155">
        <f t="shared" si="8"/>
        <v>100.50580506303352</v>
      </c>
      <c r="K27" s="151">
        <f t="shared" si="9"/>
        <v>8.219018480979493</v>
      </c>
      <c r="L27" s="158">
        <v>57.671654723467675</v>
      </c>
      <c r="M27" s="155">
        <f t="shared" si="10"/>
        <v>0.09979901301485888</v>
      </c>
      <c r="N27" s="151">
        <f t="shared" si="11"/>
        <v>0.024949754276775593</v>
      </c>
      <c r="O27" s="158">
        <v>99.97487177858507</v>
      </c>
      <c r="P27" s="49"/>
      <c r="R27" s="92"/>
      <c r="S27" s="82"/>
      <c r="T27" s="47">
        <f t="shared" si="12"/>
        <v>3.0571112258158926</v>
      </c>
      <c r="U27" s="78">
        <f t="shared" si="13"/>
        <v>1.1508046043400088E-08</v>
      </c>
      <c r="V27" s="22">
        <f t="shared" si="14"/>
        <v>100.60560504118607</v>
      </c>
      <c r="W27" s="23">
        <f t="shared" si="15"/>
        <v>6.199337884284248</v>
      </c>
      <c r="X27" s="24">
        <f t="shared" si="0"/>
        <v>68.09858541121996</v>
      </c>
      <c r="Y27" s="77">
        <f t="shared" si="1"/>
        <v>1.2052088038672082E-07</v>
      </c>
      <c r="Z27" s="22">
        <f t="shared" si="16"/>
        <v>0.09979904290588634</v>
      </c>
      <c r="AA27" s="23">
        <f t="shared" si="17"/>
        <v>0.024949761749532763</v>
      </c>
      <c r="AB27" s="24">
        <f t="shared" si="18"/>
        <v>99.97487174000575</v>
      </c>
      <c r="AC27" s="77">
        <f t="shared" si="2"/>
        <v>-3.8579315742026665E-08</v>
      </c>
      <c r="AD27" s="22">
        <f t="shared" si="19"/>
        <v>100.50580599828017</v>
      </c>
      <c r="AE27" s="23">
        <f t="shared" si="20"/>
        <v>8.219018557460743</v>
      </c>
      <c r="AF27" s="24">
        <f t="shared" si="21"/>
        <v>57.67165432862073</v>
      </c>
      <c r="AG27" s="77">
        <f t="shared" si="3"/>
        <v>-3.9484694269731335E-07</v>
      </c>
      <c r="AH27" s="95"/>
    </row>
    <row r="28" spans="2:34" ht="12.75">
      <c r="B28" s="40"/>
      <c r="C28" s="147">
        <f t="shared" si="4"/>
        <v>13</v>
      </c>
      <c r="D28" s="145">
        <v>35</v>
      </c>
      <c r="E28" s="148">
        <v>425</v>
      </c>
      <c r="F28" s="162">
        <f t="shared" si="5"/>
        <v>504.9752469181039</v>
      </c>
      <c r="G28" s="165">
        <f t="shared" si="6"/>
        <v>122.86085408258478</v>
      </c>
      <c r="H28" s="151">
        <f t="shared" si="7"/>
        <v>7.5707108654421305</v>
      </c>
      <c r="I28" s="158">
        <v>60.52787442525695</v>
      </c>
      <c r="J28" s="155">
        <f t="shared" si="8"/>
        <v>120.91946315807687</v>
      </c>
      <c r="K28" s="151">
        <f t="shared" si="9"/>
        <v>9.888377111979288</v>
      </c>
      <c r="L28" s="158">
        <v>47.78327761148839</v>
      </c>
      <c r="M28" s="155">
        <f t="shared" si="10"/>
        <v>1.9413893822290202</v>
      </c>
      <c r="N28" s="151">
        <f t="shared" si="11"/>
        <v>0.4853473654588498</v>
      </c>
      <c r="O28" s="158">
        <v>99.48952441312622</v>
      </c>
      <c r="P28" s="49"/>
      <c r="R28" s="92"/>
      <c r="S28" s="82"/>
      <c r="T28" s="47">
        <f t="shared" si="12"/>
        <v>3.057111225815889</v>
      </c>
      <c r="U28" s="78">
        <f t="shared" si="13"/>
        <v>1.3205953486617026E-08</v>
      </c>
      <c r="V28" s="22">
        <f t="shared" si="14"/>
        <v>122.86085364784086</v>
      </c>
      <c r="W28" s="23">
        <f t="shared" si="15"/>
        <v>7.57071083865312</v>
      </c>
      <c r="X28" s="24">
        <f t="shared" si="0"/>
        <v>60.52787457256684</v>
      </c>
      <c r="Y28" s="77">
        <f t="shared" si="1"/>
        <v>1.4730989050804055E-07</v>
      </c>
      <c r="Z28" s="22">
        <f t="shared" si="16"/>
        <v>1.9413894165301968</v>
      </c>
      <c r="AA28" s="23">
        <f t="shared" si="17"/>
        <v>0.4853473740341443</v>
      </c>
      <c r="AB28" s="24">
        <f t="shared" si="18"/>
        <v>99.4895243659716</v>
      </c>
      <c r="AC28" s="77">
        <f t="shared" si="2"/>
        <v>-4.7154614435385156E-08</v>
      </c>
      <c r="AD28" s="22">
        <f t="shared" si="19"/>
        <v>120.91946423131066</v>
      </c>
      <c r="AE28" s="23">
        <f t="shared" si="20"/>
        <v>9.88837719974465</v>
      </c>
      <c r="AF28" s="24">
        <f t="shared" si="21"/>
        <v>47.78327712887608</v>
      </c>
      <c r="AG28" s="77">
        <f t="shared" si="3"/>
        <v>-4.826123074508359E-07</v>
      </c>
      <c r="AH28" s="95"/>
    </row>
    <row r="29" spans="2:34" ht="12.75">
      <c r="B29" s="40"/>
      <c r="C29" s="147">
        <f t="shared" si="4"/>
        <v>14</v>
      </c>
      <c r="D29" s="145">
        <v>48</v>
      </c>
      <c r="E29" s="148">
        <v>300</v>
      </c>
      <c r="F29" s="162">
        <f t="shared" si="5"/>
        <v>357.0714214271425</v>
      </c>
      <c r="G29" s="165">
        <f t="shared" si="6"/>
        <v>142.10558616377864</v>
      </c>
      <c r="H29" s="151">
        <f t="shared" si="7"/>
        <v>8.756575178021976</v>
      </c>
      <c r="I29" s="158">
        <v>51.77129924723497</v>
      </c>
      <c r="J29" s="155">
        <f t="shared" si="8"/>
        <v>131.20111783574362</v>
      </c>
      <c r="K29" s="151">
        <f t="shared" si="9"/>
        <v>10.729175409727304</v>
      </c>
      <c r="L29" s="158">
        <v>37.05410220176108</v>
      </c>
      <c r="M29" s="155">
        <f t="shared" si="10"/>
        <v>10.904467015378364</v>
      </c>
      <c r="N29" s="151">
        <f t="shared" si="11"/>
        <v>2.7261168656285975</v>
      </c>
      <c r="O29" s="158">
        <v>96.76340754749762</v>
      </c>
      <c r="P29" s="49"/>
      <c r="R29" s="92"/>
      <c r="S29" s="82"/>
      <c r="T29" s="47">
        <f t="shared" si="12"/>
        <v>3.0571112258158886</v>
      </c>
      <c r="U29" s="78">
        <f t="shared" si="13"/>
        <v>1.1239784629524411E-08</v>
      </c>
      <c r="V29" s="22">
        <f t="shared" si="14"/>
        <v>142.10558579376158</v>
      </c>
      <c r="W29" s="23">
        <f t="shared" si="15"/>
        <v>8.756575155221448</v>
      </c>
      <c r="X29" s="24">
        <f t="shared" si="0"/>
        <v>51.77129941734539</v>
      </c>
      <c r="Y29" s="77">
        <f t="shared" si="1"/>
        <v>1.7011041819614547E-07</v>
      </c>
      <c r="Z29" s="22">
        <f t="shared" si="16"/>
        <v>10.904467044572606</v>
      </c>
      <c r="AA29" s="23">
        <f t="shared" si="17"/>
        <v>2.7261168729271588</v>
      </c>
      <c r="AB29" s="24">
        <f t="shared" si="18"/>
        <v>96.76340749304444</v>
      </c>
      <c r="AC29" s="77">
        <f t="shared" si="2"/>
        <v>-5.445318151942047E-08</v>
      </c>
      <c r="AD29" s="22">
        <f t="shared" si="19"/>
        <v>131.20111874918896</v>
      </c>
      <c r="AE29" s="23">
        <f t="shared" si="20"/>
        <v>10.729175484425717</v>
      </c>
      <c r="AF29" s="24">
        <f t="shared" si="21"/>
        <v>37.05410164445036</v>
      </c>
      <c r="AG29" s="77">
        <f t="shared" si="3"/>
        <v>-5.573107202394567E-07</v>
      </c>
      <c r="AH29" s="95"/>
    </row>
    <row r="30" spans="2:34" ht="12.75">
      <c r="B30" s="40"/>
      <c r="C30" s="147">
        <f t="shared" si="4"/>
        <v>15</v>
      </c>
      <c r="D30" s="145">
        <v>65</v>
      </c>
      <c r="E30" s="148">
        <v>212</v>
      </c>
      <c r="F30" s="162">
        <f t="shared" si="5"/>
        <v>252.19040425836982</v>
      </c>
      <c r="G30" s="165">
        <f t="shared" si="6"/>
        <v>143.62178704326317</v>
      </c>
      <c r="H30" s="151">
        <f t="shared" si="7"/>
        <v>8.850003785190786</v>
      </c>
      <c r="I30" s="158">
        <v>42.921295462044185</v>
      </c>
      <c r="J30" s="155">
        <f t="shared" si="8"/>
        <v>116.39547955552491</v>
      </c>
      <c r="K30" s="151">
        <f t="shared" si="9"/>
        <v>9.518421318742242</v>
      </c>
      <c r="L30" s="158">
        <v>27.53568088301884</v>
      </c>
      <c r="M30" s="155">
        <f t="shared" si="10"/>
        <v>27.226307042943272</v>
      </c>
      <c r="N30" s="151">
        <f t="shared" si="11"/>
        <v>6.806577039838473</v>
      </c>
      <c r="O30" s="158">
        <v>89.95683050765915</v>
      </c>
      <c r="P30" s="49"/>
      <c r="R30" s="92"/>
      <c r="S30" s="82"/>
      <c r="T30" s="47">
        <f t="shared" si="12"/>
        <v>3.0571112258158877</v>
      </c>
      <c r="U30" s="78">
        <f t="shared" si="13"/>
        <v>3.808611869024745E-09</v>
      </c>
      <c r="V30" s="22">
        <f t="shared" si="14"/>
        <v>143.62178691788253</v>
      </c>
      <c r="W30" s="23">
        <f t="shared" si="15"/>
        <v>8.850003777464806</v>
      </c>
      <c r="X30" s="24">
        <f t="shared" si="0"/>
        <v>42.92129563988058</v>
      </c>
      <c r="Y30" s="77">
        <f t="shared" si="1"/>
        <v>1.7783639805202256E-07</v>
      </c>
      <c r="Z30" s="22">
        <f t="shared" si="16"/>
        <v>27.22630705283577</v>
      </c>
      <c r="AA30" s="23">
        <f t="shared" si="17"/>
        <v>6.806577042311598</v>
      </c>
      <c r="AB30" s="24">
        <f t="shared" si="18"/>
        <v>89.95683045073284</v>
      </c>
      <c r="AC30" s="77">
        <f t="shared" si="2"/>
        <v>-5.692631077636179E-08</v>
      </c>
      <c r="AD30" s="22">
        <f t="shared" si="19"/>
        <v>116.39547986504678</v>
      </c>
      <c r="AE30" s="23">
        <f t="shared" si="20"/>
        <v>9.518421344053872</v>
      </c>
      <c r="AF30" s="24">
        <f t="shared" si="21"/>
        <v>27.53568030039649</v>
      </c>
      <c r="AG30" s="77">
        <f t="shared" si="3"/>
        <v>-5.826223521410157E-07</v>
      </c>
      <c r="AH30" s="95"/>
    </row>
    <row r="31" spans="2:34" ht="12.75">
      <c r="B31" s="40"/>
      <c r="C31" s="147">
        <f t="shared" si="4"/>
        <v>16</v>
      </c>
      <c r="D31" s="145">
        <v>100</v>
      </c>
      <c r="E31" s="148">
        <v>150</v>
      </c>
      <c r="F31" s="162">
        <f t="shared" si="5"/>
        <v>178.3255450012701</v>
      </c>
      <c r="G31" s="165">
        <f t="shared" si="6"/>
        <v>125.60443659468525</v>
      </c>
      <c r="H31" s="151">
        <f t="shared" si="7"/>
        <v>7.739770978931446</v>
      </c>
      <c r="I31" s="158">
        <v>35.18152448311274</v>
      </c>
      <c r="J31" s="155">
        <f t="shared" si="8"/>
        <v>85.79335876287482</v>
      </c>
      <c r="K31" s="151">
        <f t="shared" si="9"/>
        <v>7.015885309063851</v>
      </c>
      <c r="L31" s="158">
        <v>20.51979557395499</v>
      </c>
      <c r="M31" s="155">
        <f t="shared" si="10"/>
        <v>39.81107831351647</v>
      </c>
      <c r="N31" s="151">
        <f t="shared" si="11"/>
        <v>9.952769986490935</v>
      </c>
      <c r="O31" s="158">
        <v>80.00406052116821</v>
      </c>
      <c r="P31" s="49"/>
      <c r="R31" s="92"/>
      <c r="S31" s="82"/>
      <c r="T31" s="47">
        <f t="shared" si="12"/>
        <v>3.0571112258158872</v>
      </c>
      <c r="U31" s="78">
        <f t="shared" si="13"/>
        <v>-4.124667371197911E-09</v>
      </c>
      <c r="V31" s="22">
        <f t="shared" si="14"/>
        <v>125.60443673047052</v>
      </c>
      <c r="W31" s="23">
        <f t="shared" si="15"/>
        <v>7.739770987298563</v>
      </c>
      <c r="X31" s="24">
        <f t="shared" si="0"/>
        <v>35.18152465258202</v>
      </c>
      <c r="Y31" s="77">
        <f t="shared" si="1"/>
        <v>1.6946928127481442E-07</v>
      </c>
      <c r="Z31" s="22">
        <f t="shared" si="16"/>
        <v>39.811078302803054</v>
      </c>
      <c r="AA31" s="23">
        <f t="shared" si="17"/>
        <v>9.95276998381258</v>
      </c>
      <c r="AB31" s="24">
        <f t="shared" si="18"/>
        <v>80.00406046692025</v>
      </c>
      <c r="AC31" s="77">
        <f t="shared" si="2"/>
        <v>-5.4247962566478236E-08</v>
      </c>
      <c r="AD31" s="22">
        <f t="shared" si="19"/>
        <v>85.7933584276675</v>
      </c>
      <c r="AE31" s="23">
        <f t="shared" si="20"/>
        <v>7.015885281651751</v>
      </c>
      <c r="AF31" s="24">
        <f t="shared" si="21"/>
        <v>20.519795018744738</v>
      </c>
      <c r="AG31" s="77">
        <f t="shared" si="3"/>
        <v>-5.552102528838532E-07</v>
      </c>
      <c r="AH31" s="95"/>
    </row>
    <row r="32" spans="2:34" ht="12.75">
      <c r="B32" s="40"/>
      <c r="C32" s="147">
        <f t="shared" si="4"/>
        <v>17</v>
      </c>
      <c r="D32" s="145">
        <v>150</v>
      </c>
      <c r="E32" s="148">
        <v>106</v>
      </c>
      <c r="F32" s="162">
        <f t="shared" si="5"/>
        <v>126.09520212918491</v>
      </c>
      <c r="G32" s="165">
        <f t="shared" si="6"/>
        <v>98.96506875376652</v>
      </c>
      <c r="H32" s="151">
        <f t="shared" si="7"/>
        <v>6.098247703941119</v>
      </c>
      <c r="I32" s="158">
        <v>29.08327677917162</v>
      </c>
      <c r="J32" s="155">
        <f t="shared" si="8"/>
        <v>56.90054618611001</v>
      </c>
      <c r="K32" s="151">
        <f t="shared" si="9"/>
        <v>4.653130636465846</v>
      </c>
      <c r="L32" s="158">
        <v>15.866664937489144</v>
      </c>
      <c r="M32" s="155">
        <f t="shared" si="10"/>
        <v>42.06452352930225</v>
      </c>
      <c r="N32" s="151">
        <f t="shared" si="11"/>
        <v>10.516131313537926</v>
      </c>
      <c r="O32" s="158">
        <v>69.48792920763029</v>
      </c>
      <c r="P32" s="49"/>
      <c r="R32" s="92"/>
      <c r="S32" s="82"/>
      <c r="T32" s="47">
        <f t="shared" si="12"/>
        <v>3.0571112258158863</v>
      </c>
      <c r="U32" s="78">
        <f t="shared" si="13"/>
        <v>-8.23421055845549E-09</v>
      </c>
      <c r="V32" s="22">
        <f t="shared" si="14"/>
        <v>98.96506902483918</v>
      </c>
      <c r="W32" s="23">
        <f t="shared" si="15"/>
        <v>6.098247720644673</v>
      </c>
      <c r="X32" s="24">
        <f t="shared" si="0"/>
        <v>29.08327693193735</v>
      </c>
      <c r="Y32" s="77">
        <f t="shared" si="1"/>
        <v>1.5276572895572826E-07</v>
      </c>
      <c r="Z32" s="22">
        <f t="shared" si="16"/>
        <v>42.0645235079147</v>
      </c>
      <c r="AA32" s="23">
        <f t="shared" si="17"/>
        <v>10.516131308191037</v>
      </c>
      <c r="AB32" s="24">
        <f t="shared" si="18"/>
        <v>69.48792915872922</v>
      </c>
      <c r="AC32" s="77">
        <f t="shared" si="2"/>
        <v>-4.890107163646462E-08</v>
      </c>
      <c r="AD32" s="22">
        <f t="shared" si="19"/>
        <v>56.900545516924474</v>
      </c>
      <c r="AE32" s="23">
        <f t="shared" si="20"/>
        <v>4.653130581742159</v>
      </c>
      <c r="AF32" s="24">
        <f t="shared" si="21"/>
        <v>15.866664437002576</v>
      </c>
      <c r="AG32" s="77">
        <f t="shared" si="3"/>
        <v>-5.004865677449288E-07</v>
      </c>
      <c r="AH32" s="95"/>
    </row>
    <row r="33" spans="2:34" ht="12.75">
      <c r="B33" s="40"/>
      <c r="C33" s="147">
        <f t="shared" si="4"/>
        <v>18</v>
      </c>
      <c r="D33" s="145">
        <v>200</v>
      </c>
      <c r="E33" s="148">
        <v>75</v>
      </c>
      <c r="F33" s="162">
        <f t="shared" si="5"/>
        <v>89.16277250063504</v>
      </c>
      <c r="G33" s="165">
        <f t="shared" si="6"/>
        <v>73.24785132022024</v>
      </c>
      <c r="H33" s="151">
        <f t="shared" si="7"/>
        <v>4.5135475249710595</v>
      </c>
      <c r="I33" s="158">
        <v>24.56972925420056</v>
      </c>
      <c r="J33" s="155">
        <f t="shared" si="8"/>
        <v>36.43686308242465</v>
      </c>
      <c r="K33" s="151">
        <f t="shared" si="9"/>
        <v>2.9796811326027175</v>
      </c>
      <c r="L33" s="158">
        <v>12.886983804886427</v>
      </c>
      <c r="M33" s="155">
        <f t="shared" si="10"/>
        <v>36.81098925849906</v>
      </c>
      <c r="N33" s="151">
        <f t="shared" si="11"/>
        <v>9.202747691982033</v>
      </c>
      <c r="O33" s="158">
        <v>60.285181515648254</v>
      </c>
      <c r="P33" s="49"/>
      <c r="R33" s="92"/>
      <c r="S33" s="82"/>
      <c r="T33" s="47">
        <f t="shared" si="12"/>
        <v>3.057111225815886</v>
      </c>
      <c r="U33" s="78">
        <f t="shared" si="13"/>
        <v>-8.739899544455843E-09</v>
      </c>
      <c r="V33" s="22">
        <f t="shared" si="14"/>
        <v>73.24785160794035</v>
      </c>
      <c r="W33" s="23">
        <f t="shared" si="15"/>
        <v>4.513547542700431</v>
      </c>
      <c r="X33" s="24">
        <f t="shared" si="0"/>
        <v>24.56972938923692</v>
      </c>
      <c r="Y33" s="77">
        <f t="shared" si="1"/>
        <v>1.350363589835979E-07</v>
      </c>
      <c r="Z33" s="22">
        <f t="shared" si="16"/>
        <v>36.810989235798026</v>
      </c>
      <c r="AA33" s="23">
        <f t="shared" si="17"/>
        <v>9.202747686306774</v>
      </c>
      <c r="AB33" s="24">
        <f t="shared" si="18"/>
        <v>60.285181472422444</v>
      </c>
      <c r="AC33" s="77">
        <f t="shared" si="2"/>
        <v>-4.3225810486546834E-08</v>
      </c>
      <c r="AD33" s="22">
        <f t="shared" si="19"/>
        <v>36.436862372142315</v>
      </c>
      <c r="AE33" s="23">
        <f t="shared" si="20"/>
        <v>2.979681074518275</v>
      </c>
      <c r="AF33" s="24">
        <f t="shared" si="21"/>
        <v>12.886983362484301</v>
      </c>
      <c r="AG33" s="77">
        <f t="shared" si="3"/>
        <v>-4.4240212559998326E-07</v>
      </c>
      <c r="AH33" s="95"/>
    </row>
    <row r="34" spans="2:34" ht="12.75">
      <c r="B34" s="40"/>
      <c r="C34" s="147">
        <f t="shared" si="4"/>
        <v>19</v>
      </c>
      <c r="D34" s="145">
        <v>270</v>
      </c>
      <c r="E34" s="148">
        <v>53</v>
      </c>
      <c r="F34" s="162">
        <f t="shared" si="5"/>
        <v>63.047601064592456</v>
      </c>
      <c r="G34" s="165">
        <f t="shared" si="6"/>
        <v>53.991368002231525</v>
      </c>
      <c r="H34" s="151">
        <f t="shared" si="7"/>
        <v>3.3269590987852204</v>
      </c>
      <c r="I34" s="158">
        <v>21.24277015541534</v>
      </c>
      <c r="J34" s="155">
        <f t="shared" si="8"/>
        <v>24.135018258673128</v>
      </c>
      <c r="K34" s="151">
        <f t="shared" si="9"/>
        <v>1.9736786445559442</v>
      </c>
      <c r="L34" s="158">
        <v>10.913305160330482</v>
      </c>
      <c r="M34" s="155">
        <f t="shared" si="10"/>
        <v>29.856350644091886</v>
      </c>
      <c r="N34" s="151">
        <f t="shared" si="11"/>
        <v>7.464087967086762</v>
      </c>
      <c r="O34" s="158">
        <v>52.82109354856149</v>
      </c>
      <c r="P34" s="49"/>
      <c r="R34" s="92"/>
      <c r="S34" s="82"/>
      <c r="T34" s="47">
        <f t="shared" si="12"/>
        <v>3.057111225815886</v>
      </c>
      <c r="U34" s="78">
        <f t="shared" si="13"/>
        <v>-7.710929217337946E-09</v>
      </c>
      <c r="V34" s="22">
        <f t="shared" si="14"/>
        <v>53.991368256077614</v>
      </c>
      <c r="W34" s="23">
        <f t="shared" si="15"/>
        <v>3.3269591144272685</v>
      </c>
      <c r="X34" s="24">
        <f t="shared" si="0"/>
        <v>21.24277027480965</v>
      </c>
      <c r="Y34" s="77">
        <f t="shared" si="1"/>
        <v>1.193943113264595E-07</v>
      </c>
      <c r="Z34" s="22">
        <f t="shared" si="16"/>
        <v>29.8563506240635</v>
      </c>
      <c r="AA34" s="23">
        <f t="shared" si="17"/>
        <v>7.464087962079665</v>
      </c>
      <c r="AB34" s="24">
        <f>AB35+AA35</f>
        <v>52.82109351034278</v>
      </c>
      <c r="AC34" s="77">
        <f t="shared" si="2"/>
        <v>-3.8218715303628414E-08</v>
      </c>
      <c r="AD34" s="22">
        <f t="shared" si="19"/>
        <v>24.13501763201411</v>
      </c>
      <c r="AE34" s="23">
        <f t="shared" si="20"/>
        <v>1.973678593309929</v>
      </c>
      <c r="AF34" s="24">
        <f>AF35+AE35</f>
        <v>10.913304769174372</v>
      </c>
      <c r="AG34" s="77">
        <f t="shared" si="3"/>
        <v>-3.911561101688221E-07</v>
      </c>
      <c r="AH34" s="95"/>
    </row>
    <row r="35" spans="2:34" ht="12.75">
      <c r="B35" s="40"/>
      <c r="C35" s="147">
        <f t="shared" si="4"/>
        <v>20</v>
      </c>
      <c r="D35" s="145">
        <v>400</v>
      </c>
      <c r="E35" s="148">
        <v>38</v>
      </c>
      <c r="F35" s="162">
        <f t="shared" si="5"/>
        <v>44.87761134463375</v>
      </c>
      <c r="G35" s="165">
        <f t="shared" si="6"/>
        <v>38.978381190604026</v>
      </c>
      <c r="H35" s="151">
        <f t="shared" si="7"/>
        <v>2.4018557920710393</v>
      </c>
      <c r="I35" s="158">
        <v>18.8409143633443</v>
      </c>
      <c r="J35" s="155">
        <f t="shared" si="8"/>
        <v>16.232408115452728</v>
      </c>
      <c r="K35" s="151">
        <f t="shared" si="9"/>
        <v>1.327430412681485</v>
      </c>
      <c r="L35" s="158">
        <v>9.585874747648997</v>
      </c>
      <c r="M35" s="155">
        <f t="shared" si="10"/>
        <v>22.74597379012212</v>
      </c>
      <c r="N35" s="151">
        <f t="shared" si="11"/>
        <v>5.686493680704338</v>
      </c>
      <c r="O35" s="158">
        <v>47.134599867857155</v>
      </c>
      <c r="P35" s="49"/>
      <c r="R35" s="92"/>
      <c r="S35" s="82" t="s">
        <v>110</v>
      </c>
      <c r="T35" s="47">
        <f t="shared" si="12"/>
        <v>3.057111225815886</v>
      </c>
      <c r="U35" s="78">
        <f t="shared" si="13"/>
        <v>-6.1220259600347226E-09</v>
      </c>
      <c r="V35" s="22">
        <f t="shared" si="14"/>
        <v>38.97838139214295</v>
      </c>
      <c r="W35" s="23">
        <f t="shared" si="15"/>
        <v>2.4018558044899088</v>
      </c>
      <c r="X35" s="50">
        <f>W36</f>
        <v>18.840914470319742</v>
      </c>
      <c r="Y35" s="52">
        <f t="shared" si="1"/>
        <v>1.0697544183813079E-07</v>
      </c>
      <c r="Z35" s="22">
        <f t="shared" si="16"/>
        <v>22.745973774220754</v>
      </c>
      <c r="AA35" s="23">
        <f t="shared" si="17"/>
        <v>5.686493676728996</v>
      </c>
      <c r="AB35" s="50">
        <f>AA36</f>
        <v>47.134599833613784</v>
      </c>
      <c r="AC35" s="52">
        <f t="shared" si="2"/>
        <v>-3.4243370805597806E-08</v>
      </c>
      <c r="AD35" s="22">
        <f t="shared" si="19"/>
        <v>16.232407617922192</v>
      </c>
      <c r="AE35" s="23">
        <f t="shared" si="20"/>
        <v>1.327430371995152</v>
      </c>
      <c r="AF35" s="50">
        <f>AE36</f>
        <v>9.58587439717922</v>
      </c>
      <c r="AG35" s="51">
        <f t="shared" si="3"/>
        <v>-3.5046977764352505E-07</v>
      </c>
      <c r="AH35" s="95"/>
    </row>
    <row r="36" spans="2:34" ht="12.75">
      <c r="B36" s="40"/>
      <c r="C36" s="147">
        <v>21</v>
      </c>
      <c r="D36" s="146">
        <v>-400</v>
      </c>
      <c r="E36" s="149">
        <v>0</v>
      </c>
      <c r="F36" s="163">
        <f>(E35+E36)/2</f>
        <v>19</v>
      </c>
      <c r="G36" s="166">
        <f t="shared" si="6"/>
        <v>305.7587155974599</v>
      </c>
      <c r="H36" s="152">
        <f t="shared" si="7"/>
        <v>18.8409143633443</v>
      </c>
      <c r="I36" s="159">
        <v>0</v>
      </c>
      <c r="J36" s="156">
        <f t="shared" si="8"/>
        <v>117.220330015738</v>
      </c>
      <c r="K36" s="152">
        <f t="shared" si="9"/>
        <v>9.585874747648997</v>
      </c>
      <c r="L36" s="159">
        <v>0</v>
      </c>
      <c r="M36" s="156">
        <f t="shared" si="10"/>
        <v>188.53839174044026</v>
      </c>
      <c r="N36" s="152">
        <f t="shared" si="11"/>
        <v>47.134599867857155</v>
      </c>
      <c r="O36" s="159">
        <v>0</v>
      </c>
      <c r="P36" s="49"/>
      <c r="R36" s="92"/>
      <c r="S36" s="82" t="s">
        <v>109</v>
      </c>
      <c r="T36" s="81"/>
      <c r="U36" s="80">
        <f t="shared" si="13"/>
        <v>-5.2734786143612166E-08</v>
      </c>
      <c r="V36" s="22">
        <f t="shared" si="14"/>
        <v>305.7587173335048</v>
      </c>
      <c r="W36" s="23">
        <f t="shared" si="15"/>
        <v>18.840914470319742</v>
      </c>
      <c r="X36" s="97"/>
      <c r="Y36" s="82"/>
      <c r="Z36" s="22">
        <f t="shared" si="16"/>
        <v>188.53839160346678</v>
      </c>
      <c r="AA36" s="23">
        <f t="shared" si="17"/>
        <v>47.134599833613784</v>
      </c>
      <c r="AB36" s="97"/>
      <c r="AC36" s="82"/>
      <c r="AD36" s="22">
        <f t="shared" si="19"/>
        <v>117.22032573003803</v>
      </c>
      <c r="AE36" s="23">
        <f t="shared" si="20"/>
        <v>9.58587439717922</v>
      </c>
      <c r="AF36" s="97"/>
      <c r="AG36" s="82"/>
      <c r="AH36" s="88"/>
    </row>
    <row r="37" spans="2:34" ht="12.75">
      <c r="B37" s="40"/>
      <c r="C37" s="70" t="s">
        <v>95</v>
      </c>
      <c r="D37" s="70"/>
      <c r="E37" s="70"/>
      <c r="F37" s="70"/>
      <c r="G37" s="167">
        <f>SUM(G17:G36)</f>
        <v>1622.8443572373792</v>
      </c>
      <c r="H37" s="153">
        <f>SUM(H17:H36)</f>
        <v>100</v>
      </c>
      <c r="I37" s="110"/>
      <c r="J37" s="157">
        <f>SUM(J17:J36)</f>
        <v>1222.8443736393187</v>
      </c>
      <c r="K37" s="153">
        <f>SUM(K17:K36)</f>
        <v>100</v>
      </c>
      <c r="L37" s="110"/>
      <c r="M37" s="157">
        <f>SUM(M17:M36)</f>
        <v>399.9999835980609</v>
      </c>
      <c r="N37" s="153">
        <f>SUM(N17:N36)</f>
        <v>100</v>
      </c>
      <c r="O37" s="110"/>
      <c r="P37" s="105"/>
      <c r="R37" s="92"/>
      <c r="S37" s="43">
        <f>Control_Panel!E13</f>
        <v>1</v>
      </c>
      <c r="T37" s="53">
        <f>AVERAGE(T17:T35)</f>
        <v>3.05711122581589</v>
      </c>
      <c r="U37" s="82"/>
      <c r="V37" s="54">
        <f>SUM(V17:V36)</f>
        <v>1622.8443572373792</v>
      </c>
      <c r="W37" s="55">
        <f>SUM(W17:W36)</f>
        <v>100.00000000000001</v>
      </c>
      <c r="X37" s="98"/>
      <c r="Y37" s="99"/>
      <c r="Z37" s="54">
        <f>SUM(Z17:Z36)</f>
        <v>399.9999835980609</v>
      </c>
      <c r="AA37" s="55">
        <f>SUM(AA17:AA36)</f>
        <v>100</v>
      </c>
      <c r="AB37" s="98"/>
      <c r="AC37" s="99"/>
      <c r="AD37" s="54">
        <f>SUM(AD17:AD36)</f>
        <v>1222.8443736393185</v>
      </c>
      <c r="AE37" s="55">
        <f>SUM(AE17:AE36)</f>
        <v>99.99999999999999</v>
      </c>
      <c r="AF37" s="98"/>
      <c r="AG37" s="99"/>
      <c r="AH37" s="88"/>
    </row>
    <row r="38" spans="2:34" ht="12.75">
      <c r="B38" s="40"/>
      <c r="C38" s="32"/>
      <c r="D38" s="32"/>
      <c r="E38" s="32"/>
      <c r="F38" s="32"/>
      <c r="G38" s="32"/>
      <c r="H38" s="32"/>
      <c r="I38" s="108"/>
      <c r="J38" s="32"/>
      <c r="K38" s="32"/>
      <c r="L38" s="108"/>
      <c r="M38" s="32"/>
      <c r="N38" s="32"/>
      <c r="O38" s="108"/>
      <c r="P38" s="33"/>
      <c r="R38" s="92"/>
      <c r="S38" s="82"/>
      <c r="T38" s="82"/>
      <c r="U38" s="102"/>
      <c r="V38" s="82"/>
      <c r="W38" s="82"/>
      <c r="X38" s="101"/>
      <c r="Y38" s="82"/>
      <c r="Z38" s="82"/>
      <c r="AA38" s="82"/>
      <c r="AB38" s="101"/>
      <c r="AC38" s="82"/>
      <c r="AD38" s="82"/>
      <c r="AE38" s="82"/>
      <c r="AF38" s="82"/>
      <c r="AG38" s="82"/>
      <c r="AH38" s="88"/>
    </row>
    <row r="39" spans="2:34" ht="12.75">
      <c r="B39" s="40"/>
      <c r="C39" s="70" t="s">
        <v>76</v>
      </c>
      <c r="D39" s="32"/>
      <c r="E39" s="32"/>
      <c r="F39" s="32"/>
      <c r="G39" s="32"/>
      <c r="H39" s="32"/>
      <c r="I39" s="158">
        <v>62.20164013371195</v>
      </c>
      <c r="J39" s="32"/>
      <c r="K39" s="32"/>
      <c r="L39" s="158">
        <v>76</v>
      </c>
      <c r="M39" s="32"/>
      <c r="N39" s="32"/>
      <c r="O39" s="158">
        <v>40</v>
      </c>
      <c r="P39" s="49"/>
      <c r="R39" s="92"/>
      <c r="S39" s="43">
        <f>Control_Panel!E14</f>
        <v>1</v>
      </c>
      <c r="T39" s="59">
        <f>IF(I39*L39&gt;0,(1/O39-1/I39)/(1/I39-1/L39)," ")</f>
        <v>3.057110893093449</v>
      </c>
      <c r="U39" s="58">
        <f>((1+$T$40)*(1/I39)-$T$40*(1/L39)-(1/O39))/((1+$T$40)^2/2/$I$40+$T$40^2/2/$L$40+1/2/$O$40)</f>
        <v>1.663148193818808E-11</v>
      </c>
      <c r="V39" s="82"/>
      <c r="W39" s="82"/>
      <c r="X39" s="56">
        <f>1/(1/I39-U39*(1+$T$40)/2/$I$40)</f>
        <v>62.201640264245306</v>
      </c>
      <c r="Y39" s="57">
        <f>X39-I39</f>
        <v>1.3053335834456448E-07</v>
      </c>
      <c r="Z39" s="82"/>
      <c r="AA39" s="82"/>
      <c r="AB39" s="56">
        <f>1/(1/O39+U39/2/$O$40)</f>
        <v>39.99999998272054</v>
      </c>
      <c r="AC39" s="57">
        <f>AB39-O39</f>
        <v>-1.7279461417274433E-08</v>
      </c>
      <c r="AD39" s="82"/>
      <c r="AE39" s="82"/>
      <c r="AF39" s="56">
        <f>1/(1/L39+U39*$T$40/2/$L$40)</f>
        <v>75.9999993615726</v>
      </c>
      <c r="AG39" s="57">
        <f>AF39-L39</f>
        <v>-6.384273945059249E-07</v>
      </c>
      <c r="AH39" s="88"/>
    </row>
    <row r="40" spans="2:34" ht="12.75">
      <c r="B40" s="40"/>
      <c r="C40" s="70" t="s">
        <v>97</v>
      </c>
      <c r="D40" s="32"/>
      <c r="E40" s="32"/>
      <c r="F40" s="32"/>
      <c r="G40" s="69"/>
      <c r="H40" s="69"/>
      <c r="I40" s="160">
        <f>Control_Panel!E9</f>
        <v>1</v>
      </c>
      <c r="J40" s="69"/>
      <c r="K40" s="69"/>
      <c r="L40" s="160">
        <f>Control_Panel!E10</f>
        <v>0.23</v>
      </c>
      <c r="M40" s="69"/>
      <c r="N40" s="69"/>
      <c r="O40" s="160">
        <f>Control_Panel!E11</f>
        <v>0.77</v>
      </c>
      <c r="P40" s="66"/>
      <c r="R40" s="92"/>
      <c r="S40" s="79" t="s">
        <v>78</v>
      </c>
      <c r="T40" s="53">
        <f>(T37*S37+T39*S39)/(S37+S39)</f>
        <v>3.0571110594546695</v>
      </c>
      <c r="U40" s="82"/>
      <c r="V40" s="82"/>
      <c r="W40" s="82"/>
      <c r="X40" s="82"/>
      <c r="Y40" s="82"/>
      <c r="Z40" s="82"/>
      <c r="AA40" s="82"/>
      <c r="AB40" s="82"/>
      <c r="AC40" s="82"/>
      <c r="AD40" s="82"/>
      <c r="AE40" s="82"/>
      <c r="AF40" s="82"/>
      <c r="AG40" s="82"/>
      <c r="AH40" s="88"/>
    </row>
    <row r="41" spans="2:34" ht="13.5" thickBot="1">
      <c r="B41" s="71"/>
      <c r="C41" s="41"/>
      <c r="D41" s="41"/>
      <c r="E41" s="41"/>
      <c r="F41" s="41"/>
      <c r="G41" s="41"/>
      <c r="H41" s="41"/>
      <c r="I41" s="41"/>
      <c r="J41" s="41"/>
      <c r="K41" s="41"/>
      <c r="L41" s="41"/>
      <c r="M41" s="41"/>
      <c r="N41" s="41"/>
      <c r="O41" s="41"/>
      <c r="P41" s="42"/>
      <c r="R41" s="107"/>
      <c r="S41" s="100"/>
      <c r="T41" s="100"/>
      <c r="U41" s="100"/>
      <c r="V41" s="100"/>
      <c r="W41" s="100"/>
      <c r="X41" s="100"/>
      <c r="Y41" s="100"/>
      <c r="Z41" s="100"/>
      <c r="AA41" s="100"/>
      <c r="AB41" s="100"/>
      <c r="AC41" s="100"/>
      <c r="AD41" s="100"/>
      <c r="AE41" s="100"/>
      <c r="AF41" s="100"/>
      <c r="AG41" s="100"/>
      <c r="AH41" s="96"/>
    </row>
    <row r="42" spans="3:5" ht="13.5" thickTop="1">
      <c r="C42" s="3"/>
      <c r="D42" s="3"/>
      <c r="E42" s="3"/>
    </row>
  </sheetData>
  <mergeCells count="11">
    <mergeCell ref="D3:N3"/>
    <mergeCell ref="D5:I5"/>
    <mergeCell ref="D6:I6"/>
    <mergeCell ref="T12:AG12"/>
    <mergeCell ref="V14:X14"/>
    <mergeCell ref="Z14:AB14"/>
    <mergeCell ref="AD14:AF14"/>
    <mergeCell ref="G13:O13"/>
    <mergeCell ref="G14:I14"/>
    <mergeCell ref="J14:L14"/>
    <mergeCell ref="M14:O14"/>
  </mergeCells>
  <printOptions gridLines="1"/>
  <pageMargins left="0.75" right="0.75" top="1" bottom="1" header="0.5" footer="0.5"/>
  <pageSetup horizontalDpi="300" verticalDpi="300" orientation="portrait" r:id="rId4"/>
  <headerFooter alignWithMargins="0">
    <oddHeader>&amp;C&amp;A</oddHeader>
    <oddFooter>&amp;CPage &amp;P</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F59"/>
  <sheetViews>
    <sheetView workbookViewId="0" topLeftCell="A10">
      <selection activeCell="N29" sqref="N29"/>
    </sheetView>
  </sheetViews>
  <sheetFormatPr defaultColWidth="9.140625" defaultRowHeight="12.75"/>
  <sheetData>
    <row r="1" spans="1:32" ht="21.75" thickTop="1">
      <c r="A1" s="179"/>
      <c r="B1" s="180" t="s">
        <v>111</v>
      </c>
      <c r="C1" s="181"/>
      <c r="D1" s="181"/>
      <c r="E1" s="181"/>
      <c r="F1" s="181"/>
      <c r="G1" s="181"/>
      <c r="H1" s="181"/>
      <c r="I1" s="181"/>
      <c r="J1" s="181"/>
      <c r="K1" s="181"/>
      <c r="L1" s="181"/>
      <c r="M1" s="181"/>
      <c r="N1" s="182"/>
      <c r="O1" s="183"/>
      <c r="P1" s="214"/>
      <c r="Q1" s="215"/>
      <c r="R1" s="216"/>
      <c r="S1" s="216"/>
      <c r="T1" s="216"/>
      <c r="U1" s="216"/>
      <c r="V1" s="216"/>
      <c r="W1" s="216"/>
      <c r="X1" s="216"/>
      <c r="Y1" s="216"/>
      <c r="Z1" s="216"/>
      <c r="AA1" s="216"/>
      <c r="AB1" s="216"/>
      <c r="AC1" s="216"/>
      <c r="AD1" s="216"/>
      <c r="AE1" s="216"/>
      <c r="AF1" s="216"/>
    </row>
    <row r="2" spans="1:32" ht="15.75">
      <c r="A2" s="184"/>
      <c r="B2" s="185"/>
      <c r="C2" s="303" t="s">
        <v>113</v>
      </c>
      <c r="D2" s="303"/>
      <c r="E2" s="303"/>
      <c r="F2" s="303"/>
      <c r="G2" s="303"/>
      <c r="H2" s="303"/>
      <c r="I2" s="303"/>
      <c r="J2" s="303"/>
      <c r="K2" s="303"/>
      <c r="L2" s="303"/>
      <c r="M2" s="303"/>
      <c r="N2" s="186"/>
      <c r="O2" s="187"/>
      <c r="P2" s="214"/>
      <c r="Q2" s="218"/>
      <c r="R2" s="219"/>
      <c r="S2" s="219"/>
      <c r="T2" s="219"/>
      <c r="U2" s="219"/>
      <c r="V2" s="219"/>
      <c r="W2" s="219"/>
      <c r="X2" s="219"/>
      <c r="Y2" s="219"/>
      <c r="Z2" s="219"/>
      <c r="AA2" s="219"/>
      <c r="AB2" s="219"/>
      <c r="AC2" s="219"/>
      <c r="AD2" s="219"/>
      <c r="AE2" s="219"/>
      <c r="AF2" s="219"/>
    </row>
    <row r="3" spans="1:32" ht="12.75">
      <c r="A3" s="184"/>
      <c r="B3" s="186"/>
      <c r="C3" s="186"/>
      <c r="D3" s="186"/>
      <c r="E3" s="186"/>
      <c r="F3" s="186"/>
      <c r="G3" s="186"/>
      <c r="H3" s="186"/>
      <c r="I3" s="186"/>
      <c r="J3" s="186"/>
      <c r="K3" s="186"/>
      <c r="L3" s="186"/>
      <c r="M3" s="186"/>
      <c r="N3" s="186"/>
      <c r="O3" s="187"/>
      <c r="P3" s="214"/>
      <c r="Q3" s="218"/>
      <c r="R3" s="219"/>
      <c r="S3" s="219"/>
      <c r="T3" s="219"/>
      <c r="U3" s="219"/>
      <c r="V3" s="219"/>
      <c r="W3" s="219"/>
      <c r="X3" s="219"/>
      <c r="Y3" s="219"/>
      <c r="Z3" s="219"/>
      <c r="AA3" s="219"/>
      <c r="AB3" s="219"/>
      <c r="AC3" s="219"/>
      <c r="AD3" s="219"/>
      <c r="AE3" s="219"/>
      <c r="AF3" s="219"/>
    </row>
    <row r="4" spans="1:32" ht="12.75">
      <c r="A4" s="184"/>
      <c r="B4" s="188" t="s">
        <v>39</v>
      </c>
      <c r="C4" s="310" t="s">
        <v>115</v>
      </c>
      <c r="D4" s="311"/>
      <c r="E4" s="311"/>
      <c r="F4" s="311"/>
      <c r="G4" s="311"/>
      <c r="H4" s="312"/>
      <c r="I4" s="186"/>
      <c r="J4" s="186"/>
      <c r="K4" s="188" t="s">
        <v>114</v>
      </c>
      <c r="L4" s="186"/>
      <c r="M4" s="172">
        <v>2</v>
      </c>
      <c r="N4" s="186"/>
      <c r="O4" s="187"/>
      <c r="P4" s="214"/>
      <c r="Q4" s="218"/>
      <c r="R4" s="219"/>
      <c r="S4" s="219"/>
      <c r="T4" s="219"/>
      <c r="U4" s="219"/>
      <c r="V4" s="219"/>
      <c r="W4" s="219"/>
      <c r="X4" s="219"/>
      <c r="Y4" s="219"/>
      <c r="Z4" s="219"/>
      <c r="AA4" s="219"/>
      <c r="AB4" s="219"/>
      <c r="AC4" s="219"/>
      <c r="AD4" s="219"/>
      <c r="AE4" s="219"/>
      <c r="AF4" s="219"/>
    </row>
    <row r="5" spans="1:32" ht="12.75">
      <c r="A5" s="184"/>
      <c r="B5" s="186"/>
      <c r="C5" s="313" t="s">
        <v>102</v>
      </c>
      <c r="D5" s="314"/>
      <c r="E5" s="314"/>
      <c r="F5" s="314"/>
      <c r="G5" s="314"/>
      <c r="H5" s="315"/>
      <c r="I5" s="186"/>
      <c r="J5" s="186"/>
      <c r="K5" s="186"/>
      <c r="L5" s="186"/>
      <c r="M5" s="186"/>
      <c r="N5" s="186"/>
      <c r="O5" s="187"/>
      <c r="P5" s="214"/>
      <c r="Q5" s="218"/>
      <c r="R5" s="219"/>
      <c r="S5" s="219"/>
      <c r="T5" s="219"/>
      <c r="U5" s="219"/>
      <c r="V5" s="219"/>
      <c r="W5" s="219"/>
      <c r="X5" s="219"/>
      <c r="Y5" s="219"/>
      <c r="Z5" s="219"/>
      <c r="AA5" s="219"/>
      <c r="AB5" s="219"/>
      <c r="AC5" s="219"/>
      <c r="AD5" s="219"/>
      <c r="AE5" s="219"/>
      <c r="AF5" s="219"/>
    </row>
    <row r="6" spans="1:32" ht="12.75">
      <c r="A6" s="184"/>
      <c r="B6" s="186"/>
      <c r="C6" s="221"/>
      <c r="D6" s="221"/>
      <c r="E6" s="221"/>
      <c r="F6" s="221"/>
      <c r="G6" s="221"/>
      <c r="H6" s="221"/>
      <c r="I6" s="186"/>
      <c r="J6" s="186"/>
      <c r="K6" s="186"/>
      <c r="L6" s="186"/>
      <c r="M6" s="186"/>
      <c r="N6" s="186"/>
      <c r="O6" s="187"/>
      <c r="P6" s="214"/>
      <c r="Q6" s="218"/>
      <c r="R6" s="219"/>
      <c r="S6" s="219"/>
      <c r="T6" s="219"/>
      <c r="U6" s="219"/>
      <c r="V6" s="219"/>
      <c r="W6" s="219"/>
      <c r="X6" s="219"/>
      <c r="Y6" s="219"/>
      <c r="Z6" s="219"/>
      <c r="AA6" s="219"/>
      <c r="AB6" s="219"/>
      <c r="AC6" s="219"/>
      <c r="AD6" s="219"/>
      <c r="AE6" s="219"/>
      <c r="AF6" s="219"/>
    </row>
    <row r="7" spans="1:32" ht="12.75">
      <c r="A7" s="184"/>
      <c r="B7" s="222"/>
      <c r="C7" s="222"/>
      <c r="D7" s="223"/>
      <c r="E7" s="195"/>
      <c r="F7" s="223"/>
      <c r="G7" s="223"/>
      <c r="H7" s="224"/>
      <c r="I7" s="186"/>
      <c r="J7" s="188" t="s">
        <v>46</v>
      </c>
      <c r="K7" s="186"/>
      <c r="L7" s="186"/>
      <c r="M7" s="206">
        <v>3.03</v>
      </c>
      <c r="N7" s="186"/>
      <c r="O7" s="187"/>
      <c r="P7" s="214"/>
      <c r="Q7" s="218"/>
      <c r="R7" s="219"/>
      <c r="S7" s="219"/>
      <c r="T7" s="219"/>
      <c r="U7" s="219"/>
      <c r="V7" s="219"/>
      <c r="W7" s="219"/>
      <c r="X7" s="219"/>
      <c r="Y7" s="219"/>
      <c r="Z7" s="219"/>
      <c r="AA7" s="219"/>
      <c r="AB7" s="219"/>
      <c r="AC7" s="219"/>
      <c r="AD7" s="219"/>
      <c r="AE7" s="219"/>
      <c r="AF7" s="219"/>
    </row>
    <row r="8" spans="1:32" ht="12.75">
      <c r="A8" s="184"/>
      <c r="B8" s="188" t="s">
        <v>118</v>
      </c>
      <c r="C8" s="186"/>
      <c r="D8" s="225"/>
      <c r="E8" s="186"/>
      <c r="F8" s="186"/>
      <c r="G8" s="186"/>
      <c r="H8" s="186"/>
      <c r="I8" s="186"/>
      <c r="J8" s="188" t="s">
        <v>128</v>
      </c>
      <c r="K8" s="186"/>
      <c r="L8" s="186"/>
      <c r="M8" s="174">
        <v>128.2</v>
      </c>
      <c r="N8" s="186"/>
      <c r="O8" s="187"/>
      <c r="P8" s="214"/>
      <c r="Q8" s="218"/>
      <c r="R8" s="219"/>
      <c r="S8" s="219"/>
      <c r="T8" s="219"/>
      <c r="U8" s="219"/>
      <c r="V8" s="219"/>
      <c r="W8" s="219"/>
      <c r="X8" s="219"/>
      <c r="Y8" s="219"/>
      <c r="Z8" s="219"/>
      <c r="AA8" s="219"/>
      <c r="AB8" s="219"/>
      <c r="AC8" s="219"/>
      <c r="AD8" s="219"/>
      <c r="AE8" s="219"/>
      <c r="AF8" s="219"/>
    </row>
    <row r="9" spans="1:32" ht="12.75">
      <c r="A9" s="184"/>
      <c r="B9" s="191" t="s">
        <v>41</v>
      </c>
      <c r="C9" s="191" t="s">
        <v>40</v>
      </c>
      <c r="D9" s="191" t="s">
        <v>52</v>
      </c>
      <c r="E9" s="191" t="s">
        <v>48</v>
      </c>
      <c r="F9" s="191" t="s">
        <v>49</v>
      </c>
      <c r="G9" s="191" t="s">
        <v>50</v>
      </c>
      <c r="H9" s="191"/>
      <c r="I9" s="186"/>
      <c r="J9" s="188" t="s">
        <v>126</v>
      </c>
      <c r="K9" s="186"/>
      <c r="L9" s="186"/>
      <c r="M9" s="226">
        <f>M8*(1/M7+100/H38-1)</f>
        <v>337.21254125412537</v>
      </c>
      <c r="N9" s="186"/>
      <c r="O9" s="187"/>
      <c r="P9" s="214"/>
      <c r="Q9" s="218"/>
      <c r="R9" s="219"/>
      <c r="S9" s="219"/>
      <c r="T9" s="219"/>
      <c r="U9" s="219"/>
      <c r="V9" s="219"/>
      <c r="W9" s="219"/>
      <c r="X9" s="219"/>
      <c r="Y9" s="219"/>
      <c r="Z9" s="219"/>
      <c r="AA9" s="219"/>
      <c r="AB9" s="219"/>
      <c r="AC9" s="219"/>
      <c r="AD9" s="219"/>
      <c r="AE9" s="219"/>
      <c r="AF9" s="219"/>
    </row>
    <row r="10" spans="1:32" ht="12.75">
      <c r="A10" s="184"/>
      <c r="B10" s="194">
        <v>4</v>
      </c>
      <c r="C10" s="227">
        <v>15</v>
      </c>
      <c r="D10" s="227">
        <v>45</v>
      </c>
      <c r="E10" s="228">
        <v>4</v>
      </c>
      <c r="F10" s="228">
        <v>7.5</v>
      </c>
      <c r="G10" s="228">
        <v>3.5</v>
      </c>
      <c r="H10" s="185"/>
      <c r="I10" s="186"/>
      <c r="J10" s="188" t="s">
        <v>117</v>
      </c>
      <c r="K10" s="186"/>
      <c r="L10" s="192"/>
      <c r="M10" s="207">
        <v>26</v>
      </c>
      <c r="N10" s="186"/>
      <c r="O10" s="187"/>
      <c r="P10" s="214"/>
      <c r="Q10" s="218"/>
      <c r="R10" s="219"/>
      <c r="S10" s="219"/>
      <c r="T10" s="219"/>
      <c r="U10" s="219"/>
      <c r="V10" s="219"/>
      <c r="W10" s="219"/>
      <c r="X10" s="219"/>
      <c r="Y10" s="219"/>
      <c r="Z10" s="219"/>
      <c r="AA10" s="219"/>
      <c r="AB10" s="219"/>
      <c r="AC10" s="219"/>
      <c r="AD10" s="219"/>
      <c r="AE10" s="219"/>
      <c r="AF10" s="219"/>
    </row>
    <row r="11" spans="1:32" ht="13.5" thickBot="1">
      <c r="A11" s="184"/>
      <c r="B11" s="185"/>
      <c r="C11" s="185"/>
      <c r="D11" s="185"/>
      <c r="E11" s="185"/>
      <c r="F11" s="186"/>
      <c r="G11" s="186"/>
      <c r="H11" s="186"/>
      <c r="I11" s="186"/>
      <c r="J11" s="185"/>
      <c r="K11" s="185"/>
      <c r="L11" s="185"/>
      <c r="M11" s="185"/>
      <c r="N11" s="186"/>
      <c r="O11" s="187"/>
      <c r="P11" s="214"/>
      <c r="Q11" s="218"/>
      <c r="R11" s="219"/>
      <c r="S11" s="307" t="s">
        <v>119</v>
      </c>
      <c r="T11" s="308"/>
      <c r="U11" s="308"/>
      <c r="V11" s="308"/>
      <c r="W11" s="308"/>
      <c r="X11" s="308"/>
      <c r="Y11" s="308"/>
      <c r="Z11" s="308"/>
      <c r="AA11" s="308"/>
      <c r="AB11" s="308"/>
      <c r="AC11" s="308"/>
      <c r="AD11" s="308"/>
      <c r="AE11" s="308"/>
      <c r="AF11" s="309"/>
    </row>
    <row r="12" spans="1:32" ht="17.25" thickBot="1" thickTop="1">
      <c r="A12" s="184"/>
      <c r="B12" s="229"/>
      <c r="C12" s="229"/>
      <c r="D12" s="230"/>
      <c r="E12" s="186"/>
      <c r="F12" s="304" t="s">
        <v>116</v>
      </c>
      <c r="G12" s="305"/>
      <c r="H12" s="305"/>
      <c r="I12" s="305"/>
      <c r="J12" s="305"/>
      <c r="K12" s="305"/>
      <c r="L12" s="305"/>
      <c r="M12" s="305"/>
      <c r="N12" s="306"/>
      <c r="O12" s="187"/>
      <c r="P12" s="214"/>
      <c r="Q12" s="218"/>
      <c r="R12" s="219"/>
      <c r="S12" s="219"/>
      <c r="T12" s="219"/>
      <c r="U12" s="219"/>
      <c r="V12" s="219"/>
      <c r="W12" s="219"/>
      <c r="X12" s="219"/>
      <c r="Y12" s="219"/>
      <c r="Z12" s="219"/>
      <c r="AA12" s="219"/>
      <c r="AB12" s="219"/>
      <c r="AC12" s="219"/>
      <c r="AD12" s="219"/>
      <c r="AE12" s="219"/>
      <c r="AF12" s="219"/>
    </row>
    <row r="13" spans="1:32" ht="13.5" thickTop="1">
      <c r="A13" s="184"/>
      <c r="B13" s="186"/>
      <c r="C13" s="186"/>
      <c r="D13" s="186"/>
      <c r="E13" s="231"/>
      <c r="F13" s="316" t="s">
        <v>96</v>
      </c>
      <c r="G13" s="317"/>
      <c r="H13" s="318"/>
      <c r="I13" s="316" t="s">
        <v>89</v>
      </c>
      <c r="J13" s="317"/>
      <c r="K13" s="318"/>
      <c r="L13" s="316" t="s">
        <v>90</v>
      </c>
      <c r="M13" s="317"/>
      <c r="N13" s="318"/>
      <c r="O13" s="232"/>
      <c r="P13" s="214"/>
      <c r="Q13" s="218"/>
      <c r="R13" s="219"/>
      <c r="S13" s="233" t="s">
        <v>79</v>
      </c>
      <c r="T13" s="233" t="s">
        <v>81</v>
      </c>
      <c r="U13" s="319" t="s">
        <v>80</v>
      </c>
      <c r="V13" s="320"/>
      <c r="W13" s="321"/>
      <c r="X13" s="219"/>
      <c r="Y13" s="319" t="s">
        <v>91</v>
      </c>
      <c r="Z13" s="320"/>
      <c r="AA13" s="321"/>
      <c r="AB13" s="219"/>
      <c r="AC13" s="319" t="s">
        <v>98</v>
      </c>
      <c r="AD13" s="320"/>
      <c r="AE13" s="321"/>
      <c r="AF13" s="219"/>
    </row>
    <row r="14" spans="1:32" ht="12.75">
      <c r="A14" s="184"/>
      <c r="B14" s="236" t="s">
        <v>2</v>
      </c>
      <c r="C14" s="236" t="s">
        <v>0</v>
      </c>
      <c r="D14" s="236" t="s">
        <v>1</v>
      </c>
      <c r="E14" s="237" t="s">
        <v>3</v>
      </c>
      <c r="F14" s="238" t="s">
        <v>44</v>
      </c>
      <c r="G14" s="236" t="s">
        <v>42</v>
      </c>
      <c r="H14" s="237" t="s">
        <v>43</v>
      </c>
      <c r="I14" s="236" t="s">
        <v>44</v>
      </c>
      <c r="J14" s="236" t="s">
        <v>42</v>
      </c>
      <c r="K14" s="237" t="s">
        <v>43</v>
      </c>
      <c r="L14" s="238" t="s">
        <v>44</v>
      </c>
      <c r="M14" s="236" t="s">
        <v>42</v>
      </c>
      <c r="N14" s="237" t="s">
        <v>43</v>
      </c>
      <c r="O14" s="239"/>
      <c r="P14" s="214"/>
      <c r="Q14" s="218"/>
      <c r="R14" s="219"/>
      <c r="S14" s="233" t="s">
        <v>77</v>
      </c>
      <c r="T14" s="233"/>
      <c r="U14" s="234" t="s">
        <v>44</v>
      </c>
      <c r="V14" s="233" t="s">
        <v>42</v>
      </c>
      <c r="W14" s="235" t="s">
        <v>43</v>
      </c>
      <c r="X14" s="240" t="s">
        <v>82</v>
      </c>
      <c r="Y14" s="234" t="s">
        <v>44</v>
      </c>
      <c r="Z14" s="233" t="s">
        <v>42</v>
      </c>
      <c r="AA14" s="235" t="s">
        <v>43</v>
      </c>
      <c r="AB14" s="240" t="s">
        <v>82</v>
      </c>
      <c r="AC14" s="234" t="s">
        <v>44</v>
      </c>
      <c r="AD14" s="233" t="s">
        <v>42</v>
      </c>
      <c r="AE14" s="235" t="s">
        <v>43</v>
      </c>
      <c r="AF14" s="240" t="s">
        <v>82</v>
      </c>
    </row>
    <row r="15" spans="1:32" ht="12.75">
      <c r="A15" s="184"/>
      <c r="B15" s="208">
        <v>1</v>
      </c>
      <c r="C15" s="209"/>
      <c r="D15" s="210"/>
      <c r="E15" s="241"/>
      <c r="F15" s="242"/>
      <c r="G15" s="242"/>
      <c r="H15" s="243">
        <v>100</v>
      </c>
      <c r="I15" s="242"/>
      <c r="J15" s="244"/>
      <c r="K15" s="243">
        <v>100</v>
      </c>
      <c r="L15" s="242"/>
      <c r="M15" s="244"/>
      <c r="N15" s="243">
        <v>100</v>
      </c>
      <c r="O15" s="196"/>
      <c r="P15" s="214"/>
      <c r="Q15" s="218"/>
      <c r="R15" s="219"/>
      <c r="S15" s="245" t="str">
        <f>IF((H15-K15)&gt;3,(N15-H15)/(H15-K15)," ")</f>
        <v> </v>
      </c>
      <c r="T15" s="246"/>
      <c r="U15" s="247"/>
      <c r="V15" s="248"/>
      <c r="W15" s="249" t="e">
        <f aca="true" t="shared" si="0" ref="W15:W33">W16+V16</f>
        <v>#DIV/0!</v>
      </c>
      <c r="X15" s="250" t="e">
        <f aca="true" t="shared" si="1" ref="X15:X34">W15-H15</f>
        <v>#DIV/0!</v>
      </c>
      <c r="Y15" s="247"/>
      <c r="Z15" s="248"/>
      <c r="AA15" s="249" t="e">
        <f>AA16+Z16</f>
        <v>#DIV/0!</v>
      </c>
      <c r="AB15" s="250" t="e">
        <f aca="true" t="shared" si="2" ref="AB15:AB34">AA15-N15</f>
        <v>#DIV/0!</v>
      </c>
      <c r="AC15" s="247"/>
      <c r="AD15" s="248"/>
      <c r="AE15" s="249" t="e">
        <f>AE16+AD16</f>
        <v>#DIV/0!</v>
      </c>
      <c r="AF15" s="250" t="e">
        <f aca="true" t="shared" si="3" ref="AF15:AF34">AE15-K15</f>
        <v>#DIV/0!</v>
      </c>
    </row>
    <row r="16" spans="1:32" ht="12.75">
      <c r="A16" s="184"/>
      <c r="B16" s="208">
        <f aca="true" t="shared" si="4" ref="B16:B34">B15+1</f>
        <v>2</v>
      </c>
      <c r="C16" s="209"/>
      <c r="D16" s="210"/>
      <c r="E16" s="252">
        <f aca="true" t="shared" si="5" ref="E16:E34">(D15*D16)^0.5</f>
        <v>0</v>
      </c>
      <c r="F16" s="253">
        <f aca="true" t="shared" si="6" ref="F16:F35">(G16/100)*$N$9</f>
        <v>0</v>
      </c>
      <c r="G16" s="258">
        <f aca="true" t="shared" si="7" ref="G16:G35">H15-H16</f>
        <v>100</v>
      </c>
      <c r="H16" s="211"/>
      <c r="I16" s="259">
        <f aca="true" t="shared" si="8" ref="I16:I35">(J16/100)*$N$9*$T$40/(1+$T$40)</f>
        <v>0</v>
      </c>
      <c r="J16" s="258">
        <f aca="true" t="shared" si="9" ref="J16:J35">K15-K16</f>
        <v>100</v>
      </c>
      <c r="K16" s="211"/>
      <c r="L16" s="259">
        <f aca="true" t="shared" si="10" ref="L16:L35">(M16/100)*$N$9/(1+$T$40)</f>
        <v>0</v>
      </c>
      <c r="M16" s="258">
        <f aca="true" t="shared" si="11" ref="M16:M35">N15-N16</f>
        <v>100</v>
      </c>
      <c r="N16" s="211"/>
      <c r="O16" s="196"/>
      <c r="P16" s="214"/>
      <c r="Q16" s="218"/>
      <c r="R16" s="219"/>
      <c r="S16" s="260" t="str">
        <f aca="true" t="shared" si="12" ref="S16:S34">IF((H16-K16)&gt;5,(N16-H16)/(H16-K16)," ")</f>
        <v> </v>
      </c>
      <c r="T16" s="261" t="e">
        <f aca="true" t="shared" si="13" ref="T16:T35">((1+$T$40)*G16-$T$40*J16-M16)/((1+$T$40)^2/2/$I$40+$T$40^2/2/$L$40+1/2/$O$40)</f>
        <v>#DIV/0!</v>
      </c>
      <c r="U16" s="262" t="e">
        <f aca="true" t="shared" si="14" ref="U16:U35">(V16/100)*$N$9</f>
        <v>#DIV/0!</v>
      </c>
      <c r="V16" s="263" t="e">
        <f aca="true" t="shared" si="15" ref="V16:V35">G16-T16*(1+$T$40)/2/$I$40</f>
        <v>#DIV/0!</v>
      </c>
      <c r="W16" s="264" t="e">
        <f t="shared" si="0"/>
        <v>#DIV/0!</v>
      </c>
      <c r="X16" s="250" t="e">
        <f t="shared" si="1"/>
        <v>#DIV/0!</v>
      </c>
      <c r="Y16" s="262" t="e">
        <f aca="true" t="shared" si="16" ref="Y16:Y35">(Z16/100)*$N$9/(1+$T$40)</f>
        <v>#DIV/0!</v>
      </c>
      <c r="Z16" s="263" t="e">
        <f aca="true" t="shared" si="17" ref="Z16:Z35">M16+T16/2/$O$40</f>
        <v>#DIV/0!</v>
      </c>
      <c r="AA16" s="264" t="e">
        <f aca="true" t="shared" si="18" ref="AA16:AA32">AA17+Z17</f>
        <v>#DIV/0!</v>
      </c>
      <c r="AB16" s="250" t="e">
        <f t="shared" si="2"/>
        <v>#DIV/0!</v>
      </c>
      <c r="AC16" s="262" t="e">
        <f aca="true" t="shared" si="19" ref="AC16:AC35">(AD16/100)*$T$40*$N$9/(1+$T$40)</f>
        <v>#DIV/0!</v>
      </c>
      <c r="AD16" s="263" t="e">
        <f aca="true" t="shared" si="20" ref="AD16:AD35">J16+T16*$T$40/2/$L$40</f>
        <v>#DIV/0!</v>
      </c>
      <c r="AE16" s="264" t="e">
        <f aca="true" t="shared" si="21" ref="AE16:AE32">AE17+AD17</f>
        <v>#DIV/0!</v>
      </c>
      <c r="AF16" s="250" t="e">
        <f t="shared" si="3"/>
        <v>#DIV/0!</v>
      </c>
    </row>
    <row r="17" spans="1:32" ht="12.75">
      <c r="A17" s="184"/>
      <c r="B17" s="208">
        <f t="shared" si="4"/>
        <v>3</v>
      </c>
      <c r="C17" s="209"/>
      <c r="D17" s="210"/>
      <c r="E17" s="265">
        <f t="shared" si="5"/>
        <v>0</v>
      </c>
      <c r="F17" s="266">
        <f t="shared" si="6"/>
        <v>0</v>
      </c>
      <c r="G17" s="267">
        <f t="shared" si="7"/>
        <v>0</v>
      </c>
      <c r="H17" s="211"/>
      <c r="I17" s="268">
        <f t="shared" si="8"/>
        <v>0</v>
      </c>
      <c r="J17" s="267">
        <f t="shared" si="9"/>
        <v>0</v>
      </c>
      <c r="K17" s="211"/>
      <c r="L17" s="268">
        <f t="shared" si="10"/>
        <v>0</v>
      </c>
      <c r="M17" s="267">
        <f t="shared" si="11"/>
        <v>0</v>
      </c>
      <c r="N17" s="211"/>
      <c r="O17" s="196"/>
      <c r="P17" s="214"/>
      <c r="Q17" s="218"/>
      <c r="R17" s="219"/>
      <c r="S17" s="269" t="str">
        <f t="shared" si="12"/>
        <v> </v>
      </c>
      <c r="T17" s="261" t="e">
        <f t="shared" si="13"/>
        <v>#DIV/0!</v>
      </c>
      <c r="U17" s="262" t="e">
        <f t="shared" si="14"/>
        <v>#DIV/0!</v>
      </c>
      <c r="V17" s="263" t="e">
        <f t="shared" si="15"/>
        <v>#DIV/0!</v>
      </c>
      <c r="W17" s="264" t="e">
        <f t="shared" si="0"/>
        <v>#DIV/0!</v>
      </c>
      <c r="X17" s="250" t="e">
        <f t="shared" si="1"/>
        <v>#DIV/0!</v>
      </c>
      <c r="Y17" s="262" t="e">
        <f t="shared" si="16"/>
        <v>#DIV/0!</v>
      </c>
      <c r="Z17" s="263" t="e">
        <f t="shared" si="17"/>
        <v>#DIV/0!</v>
      </c>
      <c r="AA17" s="264" t="e">
        <f t="shared" si="18"/>
        <v>#DIV/0!</v>
      </c>
      <c r="AB17" s="250" t="e">
        <f t="shared" si="2"/>
        <v>#DIV/0!</v>
      </c>
      <c r="AC17" s="262" t="e">
        <f t="shared" si="19"/>
        <v>#DIV/0!</v>
      </c>
      <c r="AD17" s="263" t="e">
        <f t="shared" si="20"/>
        <v>#DIV/0!</v>
      </c>
      <c r="AE17" s="264" t="e">
        <f t="shared" si="21"/>
        <v>#DIV/0!</v>
      </c>
      <c r="AF17" s="250" t="e">
        <f t="shared" si="3"/>
        <v>#DIV/0!</v>
      </c>
    </row>
    <row r="18" spans="1:32" ht="12.75">
      <c r="A18" s="184"/>
      <c r="B18" s="208">
        <f t="shared" si="4"/>
        <v>4</v>
      </c>
      <c r="C18" s="209"/>
      <c r="D18" s="210"/>
      <c r="E18" s="265">
        <f t="shared" si="5"/>
        <v>0</v>
      </c>
      <c r="F18" s="266">
        <f t="shared" si="6"/>
        <v>0</v>
      </c>
      <c r="G18" s="267">
        <f t="shared" si="7"/>
        <v>0</v>
      </c>
      <c r="H18" s="211"/>
      <c r="I18" s="268">
        <f t="shared" si="8"/>
        <v>0</v>
      </c>
      <c r="J18" s="267">
        <f t="shared" si="9"/>
        <v>0</v>
      </c>
      <c r="K18" s="211"/>
      <c r="L18" s="268">
        <f t="shared" si="10"/>
        <v>0</v>
      </c>
      <c r="M18" s="267">
        <f t="shared" si="11"/>
        <v>0</v>
      </c>
      <c r="N18" s="211"/>
      <c r="O18" s="196"/>
      <c r="P18" s="214"/>
      <c r="Q18" s="218"/>
      <c r="R18" s="219"/>
      <c r="S18" s="269" t="str">
        <f t="shared" si="12"/>
        <v> </v>
      </c>
      <c r="T18" s="261" t="e">
        <f t="shared" si="13"/>
        <v>#DIV/0!</v>
      </c>
      <c r="U18" s="262" t="e">
        <f t="shared" si="14"/>
        <v>#DIV/0!</v>
      </c>
      <c r="V18" s="263" t="e">
        <f t="shared" si="15"/>
        <v>#DIV/0!</v>
      </c>
      <c r="W18" s="264" t="e">
        <f t="shared" si="0"/>
        <v>#DIV/0!</v>
      </c>
      <c r="X18" s="250" t="e">
        <f t="shared" si="1"/>
        <v>#DIV/0!</v>
      </c>
      <c r="Y18" s="262" t="e">
        <f t="shared" si="16"/>
        <v>#DIV/0!</v>
      </c>
      <c r="Z18" s="263" t="e">
        <f t="shared" si="17"/>
        <v>#DIV/0!</v>
      </c>
      <c r="AA18" s="264" t="e">
        <f t="shared" si="18"/>
        <v>#DIV/0!</v>
      </c>
      <c r="AB18" s="250" t="e">
        <f t="shared" si="2"/>
        <v>#DIV/0!</v>
      </c>
      <c r="AC18" s="262" t="e">
        <f t="shared" si="19"/>
        <v>#DIV/0!</v>
      </c>
      <c r="AD18" s="263" t="e">
        <f t="shared" si="20"/>
        <v>#DIV/0!</v>
      </c>
      <c r="AE18" s="264" t="e">
        <f t="shared" si="21"/>
        <v>#DIV/0!</v>
      </c>
      <c r="AF18" s="250" t="e">
        <f t="shared" si="3"/>
        <v>#DIV/0!</v>
      </c>
    </row>
    <row r="19" spans="1:32" ht="12.75">
      <c r="A19" s="184"/>
      <c r="B19" s="208">
        <f t="shared" si="4"/>
        <v>5</v>
      </c>
      <c r="C19" s="209"/>
      <c r="D19" s="210"/>
      <c r="E19" s="265">
        <f t="shared" si="5"/>
        <v>0</v>
      </c>
      <c r="F19" s="266">
        <f t="shared" si="6"/>
        <v>0</v>
      </c>
      <c r="G19" s="267">
        <f t="shared" si="7"/>
        <v>0</v>
      </c>
      <c r="H19" s="211"/>
      <c r="I19" s="268">
        <f t="shared" si="8"/>
        <v>0</v>
      </c>
      <c r="J19" s="267">
        <f t="shared" si="9"/>
        <v>0</v>
      </c>
      <c r="K19" s="211"/>
      <c r="L19" s="268">
        <f t="shared" si="10"/>
        <v>0</v>
      </c>
      <c r="M19" s="267">
        <f t="shared" si="11"/>
        <v>0</v>
      </c>
      <c r="N19" s="211"/>
      <c r="O19" s="196"/>
      <c r="P19" s="214"/>
      <c r="Q19" s="218"/>
      <c r="R19" s="219"/>
      <c r="S19" s="269" t="str">
        <f t="shared" si="12"/>
        <v> </v>
      </c>
      <c r="T19" s="261" t="e">
        <f t="shared" si="13"/>
        <v>#DIV/0!</v>
      </c>
      <c r="U19" s="262" t="e">
        <f t="shared" si="14"/>
        <v>#DIV/0!</v>
      </c>
      <c r="V19" s="263" t="e">
        <f t="shared" si="15"/>
        <v>#DIV/0!</v>
      </c>
      <c r="W19" s="264" t="e">
        <f t="shared" si="0"/>
        <v>#DIV/0!</v>
      </c>
      <c r="X19" s="250" t="e">
        <f t="shared" si="1"/>
        <v>#DIV/0!</v>
      </c>
      <c r="Y19" s="262" t="e">
        <f t="shared" si="16"/>
        <v>#DIV/0!</v>
      </c>
      <c r="Z19" s="263" t="e">
        <f t="shared" si="17"/>
        <v>#DIV/0!</v>
      </c>
      <c r="AA19" s="264" t="e">
        <f t="shared" si="18"/>
        <v>#DIV/0!</v>
      </c>
      <c r="AB19" s="250" t="e">
        <f t="shared" si="2"/>
        <v>#DIV/0!</v>
      </c>
      <c r="AC19" s="262" t="e">
        <f t="shared" si="19"/>
        <v>#DIV/0!</v>
      </c>
      <c r="AD19" s="263" t="e">
        <f t="shared" si="20"/>
        <v>#DIV/0!</v>
      </c>
      <c r="AE19" s="264" t="e">
        <f t="shared" si="21"/>
        <v>#DIV/0!</v>
      </c>
      <c r="AF19" s="250" t="e">
        <f t="shared" si="3"/>
        <v>#DIV/0!</v>
      </c>
    </row>
    <row r="20" spans="1:32" ht="12.75">
      <c r="A20" s="184"/>
      <c r="B20" s="208">
        <f t="shared" si="4"/>
        <v>6</v>
      </c>
      <c r="C20" s="209"/>
      <c r="D20" s="210"/>
      <c r="E20" s="265">
        <f t="shared" si="5"/>
        <v>0</v>
      </c>
      <c r="F20" s="266">
        <f t="shared" si="6"/>
        <v>0</v>
      </c>
      <c r="G20" s="267">
        <f t="shared" si="7"/>
        <v>0</v>
      </c>
      <c r="H20" s="211"/>
      <c r="I20" s="268">
        <f t="shared" si="8"/>
        <v>0</v>
      </c>
      <c r="J20" s="267">
        <f t="shared" si="9"/>
        <v>0</v>
      </c>
      <c r="K20" s="211"/>
      <c r="L20" s="268">
        <f t="shared" si="10"/>
        <v>0</v>
      </c>
      <c r="M20" s="267">
        <f t="shared" si="11"/>
        <v>0</v>
      </c>
      <c r="N20" s="211"/>
      <c r="O20" s="196"/>
      <c r="P20" s="214"/>
      <c r="Q20" s="218"/>
      <c r="R20" s="219"/>
      <c r="S20" s="269" t="str">
        <f t="shared" si="12"/>
        <v> </v>
      </c>
      <c r="T20" s="261" t="e">
        <f t="shared" si="13"/>
        <v>#DIV/0!</v>
      </c>
      <c r="U20" s="262" t="e">
        <f t="shared" si="14"/>
        <v>#DIV/0!</v>
      </c>
      <c r="V20" s="263" t="e">
        <f t="shared" si="15"/>
        <v>#DIV/0!</v>
      </c>
      <c r="W20" s="264" t="e">
        <f t="shared" si="0"/>
        <v>#DIV/0!</v>
      </c>
      <c r="X20" s="250" t="e">
        <f t="shared" si="1"/>
        <v>#DIV/0!</v>
      </c>
      <c r="Y20" s="262" t="e">
        <f t="shared" si="16"/>
        <v>#DIV/0!</v>
      </c>
      <c r="Z20" s="263" t="e">
        <f t="shared" si="17"/>
        <v>#DIV/0!</v>
      </c>
      <c r="AA20" s="264" t="e">
        <f t="shared" si="18"/>
        <v>#DIV/0!</v>
      </c>
      <c r="AB20" s="250" t="e">
        <f t="shared" si="2"/>
        <v>#DIV/0!</v>
      </c>
      <c r="AC20" s="262" t="e">
        <f t="shared" si="19"/>
        <v>#DIV/0!</v>
      </c>
      <c r="AD20" s="263" t="e">
        <f t="shared" si="20"/>
        <v>#DIV/0!</v>
      </c>
      <c r="AE20" s="264" t="e">
        <f t="shared" si="21"/>
        <v>#DIV/0!</v>
      </c>
      <c r="AF20" s="250" t="e">
        <f t="shared" si="3"/>
        <v>#DIV/0!</v>
      </c>
    </row>
    <row r="21" spans="1:32" ht="12.75">
      <c r="A21" s="184"/>
      <c r="B21" s="208">
        <f t="shared" si="4"/>
        <v>7</v>
      </c>
      <c r="C21" s="209"/>
      <c r="D21" s="210"/>
      <c r="E21" s="265">
        <f t="shared" si="5"/>
        <v>0</v>
      </c>
      <c r="F21" s="266">
        <f t="shared" si="6"/>
        <v>0</v>
      </c>
      <c r="G21" s="267">
        <f t="shared" si="7"/>
        <v>0</v>
      </c>
      <c r="H21" s="211"/>
      <c r="I21" s="268">
        <f t="shared" si="8"/>
        <v>0</v>
      </c>
      <c r="J21" s="267">
        <f t="shared" si="9"/>
        <v>0</v>
      </c>
      <c r="K21" s="211"/>
      <c r="L21" s="268">
        <f t="shared" si="10"/>
        <v>0</v>
      </c>
      <c r="M21" s="267">
        <f t="shared" si="11"/>
        <v>0</v>
      </c>
      <c r="N21" s="211"/>
      <c r="O21" s="196"/>
      <c r="P21" s="214"/>
      <c r="Q21" s="218"/>
      <c r="R21" s="219"/>
      <c r="S21" s="269" t="str">
        <f t="shared" si="12"/>
        <v> </v>
      </c>
      <c r="T21" s="261" t="e">
        <f t="shared" si="13"/>
        <v>#DIV/0!</v>
      </c>
      <c r="U21" s="262" t="e">
        <f t="shared" si="14"/>
        <v>#DIV/0!</v>
      </c>
      <c r="V21" s="263" t="e">
        <f t="shared" si="15"/>
        <v>#DIV/0!</v>
      </c>
      <c r="W21" s="264" t="e">
        <f t="shared" si="0"/>
        <v>#DIV/0!</v>
      </c>
      <c r="X21" s="250" t="e">
        <f t="shared" si="1"/>
        <v>#DIV/0!</v>
      </c>
      <c r="Y21" s="262" t="e">
        <f t="shared" si="16"/>
        <v>#DIV/0!</v>
      </c>
      <c r="Z21" s="263" t="e">
        <f t="shared" si="17"/>
        <v>#DIV/0!</v>
      </c>
      <c r="AA21" s="264" t="e">
        <f t="shared" si="18"/>
        <v>#DIV/0!</v>
      </c>
      <c r="AB21" s="250" t="e">
        <f t="shared" si="2"/>
        <v>#DIV/0!</v>
      </c>
      <c r="AC21" s="262" t="e">
        <f t="shared" si="19"/>
        <v>#DIV/0!</v>
      </c>
      <c r="AD21" s="263" t="e">
        <f t="shared" si="20"/>
        <v>#DIV/0!</v>
      </c>
      <c r="AE21" s="264" t="e">
        <f t="shared" si="21"/>
        <v>#DIV/0!</v>
      </c>
      <c r="AF21" s="250" t="e">
        <f t="shared" si="3"/>
        <v>#DIV/0!</v>
      </c>
    </row>
    <row r="22" spans="1:32" ht="12.75">
      <c r="A22" s="184"/>
      <c r="B22" s="208">
        <f t="shared" si="4"/>
        <v>8</v>
      </c>
      <c r="C22" s="209"/>
      <c r="D22" s="210"/>
      <c r="E22" s="265">
        <f t="shared" si="5"/>
        <v>0</v>
      </c>
      <c r="F22" s="266">
        <f t="shared" si="6"/>
        <v>0</v>
      </c>
      <c r="G22" s="267">
        <f t="shared" si="7"/>
        <v>0</v>
      </c>
      <c r="H22" s="211"/>
      <c r="I22" s="268">
        <f t="shared" si="8"/>
        <v>0</v>
      </c>
      <c r="J22" s="267">
        <f t="shared" si="9"/>
        <v>0</v>
      </c>
      <c r="K22" s="211"/>
      <c r="L22" s="268">
        <f t="shared" si="10"/>
        <v>0</v>
      </c>
      <c r="M22" s="267">
        <f t="shared" si="11"/>
        <v>0</v>
      </c>
      <c r="N22" s="211"/>
      <c r="O22" s="196"/>
      <c r="P22" s="214"/>
      <c r="Q22" s="218"/>
      <c r="R22" s="219"/>
      <c r="S22" s="269" t="str">
        <f t="shared" si="12"/>
        <v> </v>
      </c>
      <c r="T22" s="261" t="e">
        <f t="shared" si="13"/>
        <v>#DIV/0!</v>
      </c>
      <c r="U22" s="262" t="e">
        <f t="shared" si="14"/>
        <v>#DIV/0!</v>
      </c>
      <c r="V22" s="263" t="e">
        <f t="shared" si="15"/>
        <v>#DIV/0!</v>
      </c>
      <c r="W22" s="264" t="e">
        <f t="shared" si="0"/>
        <v>#DIV/0!</v>
      </c>
      <c r="X22" s="250" t="e">
        <f t="shared" si="1"/>
        <v>#DIV/0!</v>
      </c>
      <c r="Y22" s="262" t="e">
        <f t="shared" si="16"/>
        <v>#DIV/0!</v>
      </c>
      <c r="Z22" s="263" t="e">
        <f t="shared" si="17"/>
        <v>#DIV/0!</v>
      </c>
      <c r="AA22" s="264" t="e">
        <f t="shared" si="18"/>
        <v>#DIV/0!</v>
      </c>
      <c r="AB22" s="250" t="e">
        <f t="shared" si="2"/>
        <v>#DIV/0!</v>
      </c>
      <c r="AC22" s="262" t="e">
        <f t="shared" si="19"/>
        <v>#DIV/0!</v>
      </c>
      <c r="AD22" s="263" t="e">
        <f t="shared" si="20"/>
        <v>#DIV/0!</v>
      </c>
      <c r="AE22" s="264" t="e">
        <f t="shared" si="21"/>
        <v>#DIV/0!</v>
      </c>
      <c r="AF22" s="250" t="e">
        <f t="shared" si="3"/>
        <v>#DIV/0!</v>
      </c>
    </row>
    <row r="23" spans="1:32" ht="12.75">
      <c r="A23" s="184"/>
      <c r="B23" s="208">
        <f t="shared" si="4"/>
        <v>9</v>
      </c>
      <c r="C23" s="209"/>
      <c r="D23" s="210"/>
      <c r="E23" s="265">
        <f t="shared" si="5"/>
        <v>0</v>
      </c>
      <c r="F23" s="266">
        <f t="shared" si="6"/>
        <v>0</v>
      </c>
      <c r="G23" s="267">
        <f t="shared" si="7"/>
        <v>0</v>
      </c>
      <c r="H23" s="211"/>
      <c r="I23" s="268">
        <f t="shared" si="8"/>
        <v>0</v>
      </c>
      <c r="J23" s="267">
        <f t="shared" si="9"/>
        <v>0</v>
      </c>
      <c r="K23" s="211"/>
      <c r="L23" s="268">
        <f t="shared" si="10"/>
        <v>0</v>
      </c>
      <c r="M23" s="267">
        <f t="shared" si="11"/>
        <v>0</v>
      </c>
      <c r="N23" s="211"/>
      <c r="O23" s="196"/>
      <c r="P23" s="214"/>
      <c r="Q23" s="218"/>
      <c r="R23" s="219"/>
      <c r="S23" s="269" t="str">
        <f t="shared" si="12"/>
        <v> </v>
      </c>
      <c r="T23" s="261" t="e">
        <f t="shared" si="13"/>
        <v>#DIV/0!</v>
      </c>
      <c r="U23" s="262" t="e">
        <f t="shared" si="14"/>
        <v>#DIV/0!</v>
      </c>
      <c r="V23" s="263" t="e">
        <f t="shared" si="15"/>
        <v>#DIV/0!</v>
      </c>
      <c r="W23" s="264" t="e">
        <f t="shared" si="0"/>
        <v>#DIV/0!</v>
      </c>
      <c r="X23" s="250" t="e">
        <f t="shared" si="1"/>
        <v>#DIV/0!</v>
      </c>
      <c r="Y23" s="262" t="e">
        <f t="shared" si="16"/>
        <v>#DIV/0!</v>
      </c>
      <c r="Z23" s="263" t="e">
        <f t="shared" si="17"/>
        <v>#DIV/0!</v>
      </c>
      <c r="AA23" s="264" t="e">
        <f t="shared" si="18"/>
        <v>#DIV/0!</v>
      </c>
      <c r="AB23" s="250" t="e">
        <f t="shared" si="2"/>
        <v>#DIV/0!</v>
      </c>
      <c r="AC23" s="262" t="e">
        <f t="shared" si="19"/>
        <v>#DIV/0!</v>
      </c>
      <c r="AD23" s="263" t="e">
        <f t="shared" si="20"/>
        <v>#DIV/0!</v>
      </c>
      <c r="AE23" s="264" t="e">
        <f t="shared" si="21"/>
        <v>#DIV/0!</v>
      </c>
      <c r="AF23" s="250" t="e">
        <f t="shared" si="3"/>
        <v>#DIV/0!</v>
      </c>
    </row>
    <row r="24" spans="1:32" ht="12.75">
      <c r="A24" s="184"/>
      <c r="B24" s="208">
        <f t="shared" si="4"/>
        <v>10</v>
      </c>
      <c r="C24" s="209"/>
      <c r="D24" s="210"/>
      <c r="E24" s="265">
        <f t="shared" si="5"/>
        <v>0</v>
      </c>
      <c r="F24" s="266">
        <f t="shared" si="6"/>
        <v>0</v>
      </c>
      <c r="G24" s="267">
        <f t="shared" si="7"/>
        <v>0</v>
      </c>
      <c r="H24" s="211"/>
      <c r="I24" s="268">
        <f t="shared" si="8"/>
        <v>0</v>
      </c>
      <c r="J24" s="267">
        <f t="shared" si="9"/>
        <v>0</v>
      </c>
      <c r="K24" s="211"/>
      <c r="L24" s="268">
        <f t="shared" si="10"/>
        <v>0</v>
      </c>
      <c r="M24" s="267">
        <f t="shared" si="11"/>
        <v>0</v>
      </c>
      <c r="N24" s="211"/>
      <c r="O24" s="196"/>
      <c r="P24" s="214"/>
      <c r="Q24" s="218"/>
      <c r="R24" s="219"/>
      <c r="S24" s="269" t="str">
        <f t="shared" si="12"/>
        <v> </v>
      </c>
      <c r="T24" s="261" t="e">
        <f t="shared" si="13"/>
        <v>#DIV/0!</v>
      </c>
      <c r="U24" s="262" t="e">
        <f t="shared" si="14"/>
        <v>#DIV/0!</v>
      </c>
      <c r="V24" s="263" t="e">
        <f t="shared" si="15"/>
        <v>#DIV/0!</v>
      </c>
      <c r="W24" s="264" t="e">
        <f t="shared" si="0"/>
        <v>#DIV/0!</v>
      </c>
      <c r="X24" s="250" t="e">
        <f t="shared" si="1"/>
        <v>#DIV/0!</v>
      </c>
      <c r="Y24" s="262" t="e">
        <f t="shared" si="16"/>
        <v>#DIV/0!</v>
      </c>
      <c r="Z24" s="263" t="e">
        <f t="shared" si="17"/>
        <v>#DIV/0!</v>
      </c>
      <c r="AA24" s="264" t="e">
        <f t="shared" si="18"/>
        <v>#DIV/0!</v>
      </c>
      <c r="AB24" s="250" t="e">
        <f t="shared" si="2"/>
        <v>#DIV/0!</v>
      </c>
      <c r="AC24" s="262" t="e">
        <f t="shared" si="19"/>
        <v>#DIV/0!</v>
      </c>
      <c r="AD24" s="263" t="e">
        <f t="shared" si="20"/>
        <v>#DIV/0!</v>
      </c>
      <c r="AE24" s="264" t="e">
        <f t="shared" si="21"/>
        <v>#DIV/0!</v>
      </c>
      <c r="AF24" s="250" t="e">
        <f t="shared" si="3"/>
        <v>#DIV/0!</v>
      </c>
    </row>
    <row r="25" spans="1:32" ht="12.75">
      <c r="A25" s="184"/>
      <c r="B25" s="208">
        <f t="shared" si="4"/>
        <v>11</v>
      </c>
      <c r="C25" s="209"/>
      <c r="D25" s="210"/>
      <c r="E25" s="265">
        <f t="shared" si="5"/>
        <v>0</v>
      </c>
      <c r="F25" s="266">
        <f t="shared" si="6"/>
        <v>0</v>
      </c>
      <c r="G25" s="267">
        <f t="shared" si="7"/>
        <v>0</v>
      </c>
      <c r="H25" s="211"/>
      <c r="I25" s="268">
        <f t="shared" si="8"/>
        <v>0</v>
      </c>
      <c r="J25" s="267">
        <f t="shared" si="9"/>
        <v>0</v>
      </c>
      <c r="K25" s="211"/>
      <c r="L25" s="268">
        <f t="shared" si="10"/>
        <v>0</v>
      </c>
      <c r="M25" s="267">
        <f t="shared" si="11"/>
        <v>0</v>
      </c>
      <c r="N25" s="211"/>
      <c r="O25" s="196"/>
      <c r="P25" s="214"/>
      <c r="Q25" s="218"/>
      <c r="R25" s="219"/>
      <c r="S25" s="269" t="str">
        <f t="shared" si="12"/>
        <v> </v>
      </c>
      <c r="T25" s="261" t="e">
        <f t="shared" si="13"/>
        <v>#DIV/0!</v>
      </c>
      <c r="U25" s="262" t="e">
        <f t="shared" si="14"/>
        <v>#DIV/0!</v>
      </c>
      <c r="V25" s="263" t="e">
        <f t="shared" si="15"/>
        <v>#DIV/0!</v>
      </c>
      <c r="W25" s="264" t="e">
        <f t="shared" si="0"/>
        <v>#DIV/0!</v>
      </c>
      <c r="X25" s="250" t="e">
        <f t="shared" si="1"/>
        <v>#DIV/0!</v>
      </c>
      <c r="Y25" s="262" t="e">
        <f t="shared" si="16"/>
        <v>#DIV/0!</v>
      </c>
      <c r="Z25" s="263" t="e">
        <f t="shared" si="17"/>
        <v>#DIV/0!</v>
      </c>
      <c r="AA25" s="264" t="e">
        <f t="shared" si="18"/>
        <v>#DIV/0!</v>
      </c>
      <c r="AB25" s="250" t="e">
        <f t="shared" si="2"/>
        <v>#DIV/0!</v>
      </c>
      <c r="AC25" s="262" t="e">
        <f t="shared" si="19"/>
        <v>#DIV/0!</v>
      </c>
      <c r="AD25" s="263" t="e">
        <f t="shared" si="20"/>
        <v>#DIV/0!</v>
      </c>
      <c r="AE25" s="264" t="e">
        <f t="shared" si="21"/>
        <v>#DIV/0!</v>
      </c>
      <c r="AF25" s="250" t="e">
        <f t="shared" si="3"/>
        <v>#DIV/0!</v>
      </c>
    </row>
    <row r="26" spans="1:32" ht="12.75">
      <c r="A26" s="184"/>
      <c r="B26" s="208">
        <f t="shared" si="4"/>
        <v>12</v>
      </c>
      <c r="C26" s="209"/>
      <c r="D26" s="210"/>
      <c r="E26" s="265">
        <f t="shared" si="5"/>
        <v>0</v>
      </c>
      <c r="F26" s="266">
        <f t="shared" si="6"/>
        <v>0</v>
      </c>
      <c r="G26" s="267">
        <f t="shared" si="7"/>
        <v>0</v>
      </c>
      <c r="H26" s="211"/>
      <c r="I26" s="268">
        <f t="shared" si="8"/>
        <v>0</v>
      </c>
      <c r="J26" s="267">
        <f t="shared" si="9"/>
        <v>0</v>
      </c>
      <c r="K26" s="211"/>
      <c r="L26" s="268">
        <f t="shared" si="10"/>
        <v>0</v>
      </c>
      <c r="M26" s="267">
        <f t="shared" si="11"/>
        <v>0</v>
      </c>
      <c r="N26" s="211"/>
      <c r="O26" s="196"/>
      <c r="P26" s="214"/>
      <c r="Q26" s="218"/>
      <c r="R26" s="219"/>
      <c r="S26" s="269" t="str">
        <f t="shared" si="12"/>
        <v> </v>
      </c>
      <c r="T26" s="261" t="e">
        <f t="shared" si="13"/>
        <v>#DIV/0!</v>
      </c>
      <c r="U26" s="262" t="e">
        <f t="shared" si="14"/>
        <v>#DIV/0!</v>
      </c>
      <c r="V26" s="263" t="e">
        <f t="shared" si="15"/>
        <v>#DIV/0!</v>
      </c>
      <c r="W26" s="264" t="e">
        <f t="shared" si="0"/>
        <v>#DIV/0!</v>
      </c>
      <c r="X26" s="250" t="e">
        <f t="shared" si="1"/>
        <v>#DIV/0!</v>
      </c>
      <c r="Y26" s="262" t="e">
        <f t="shared" si="16"/>
        <v>#DIV/0!</v>
      </c>
      <c r="Z26" s="263" t="e">
        <f t="shared" si="17"/>
        <v>#DIV/0!</v>
      </c>
      <c r="AA26" s="264" t="e">
        <f t="shared" si="18"/>
        <v>#DIV/0!</v>
      </c>
      <c r="AB26" s="250" t="e">
        <f t="shared" si="2"/>
        <v>#DIV/0!</v>
      </c>
      <c r="AC26" s="262" t="e">
        <f t="shared" si="19"/>
        <v>#DIV/0!</v>
      </c>
      <c r="AD26" s="263" t="e">
        <f t="shared" si="20"/>
        <v>#DIV/0!</v>
      </c>
      <c r="AE26" s="264" t="e">
        <f t="shared" si="21"/>
        <v>#DIV/0!</v>
      </c>
      <c r="AF26" s="250" t="e">
        <f t="shared" si="3"/>
        <v>#DIV/0!</v>
      </c>
    </row>
    <row r="27" spans="1:32" ht="12.75">
      <c r="A27" s="184"/>
      <c r="B27" s="208">
        <f t="shared" si="4"/>
        <v>13</v>
      </c>
      <c r="C27" s="209"/>
      <c r="D27" s="210"/>
      <c r="E27" s="265">
        <f t="shared" si="5"/>
        <v>0</v>
      </c>
      <c r="F27" s="266">
        <f t="shared" si="6"/>
        <v>0</v>
      </c>
      <c r="G27" s="267">
        <f t="shared" si="7"/>
        <v>0</v>
      </c>
      <c r="H27" s="211"/>
      <c r="I27" s="268">
        <f t="shared" si="8"/>
        <v>0</v>
      </c>
      <c r="J27" s="267">
        <f t="shared" si="9"/>
        <v>0</v>
      </c>
      <c r="K27" s="211"/>
      <c r="L27" s="268">
        <f t="shared" si="10"/>
        <v>0</v>
      </c>
      <c r="M27" s="267">
        <f t="shared" si="11"/>
        <v>0</v>
      </c>
      <c r="N27" s="211"/>
      <c r="O27" s="196"/>
      <c r="P27" s="214"/>
      <c r="Q27" s="218"/>
      <c r="R27" s="219"/>
      <c r="S27" s="269" t="str">
        <f t="shared" si="12"/>
        <v> </v>
      </c>
      <c r="T27" s="261" t="e">
        <f t="shared" si="13"/>
        <v>#DIV/0!</v>
      </c>
      <c r="U27" s="262" t="e">
        <f t="shared" si="14"/>
        <v>#DIV/0!</v>
      </c>
      <c r="V27" s="263" t="e">
        <f t="shared" si="15"/>
        <v>#DIV/0!</v>
      </c>
      <c r="W27" s="264" t="e">
        <f t="shared" si="0"/>
        <v>#DIV/0!</v>
      </c>
      <c r="X27" s="250" t="e">
        <f t="shared" si="1"/>
        <v>#DIV/0!</v>
      </c>
      <c r="Y27" s="262" t="e">
        <f t="shared" si="16"/>
        <v>#DIV/0!</v>
      </c>
      <c r="Z27" s="263" t="e">
        <f t="shared" si="17"/>
        <v>#DIV/0!</v>
      </c>
      <c r="AA27" s="264" t="e">
        <f t="shared" si="18"/>
        <v>#DIV/0!</v>
      </c>
      <c r="AB27" s="250" t="e">
        <f t="shared" si="2"/>
        <v>#DIV/0!</v>
      </c>
      <c r="AC27" s="262" t="e">
        <f t="shared" si="19"/>
        <v>#DIV/0!</v>
      </c>
      <c r="AD27" s="263" t="e">
        <f t="shared" si="20"/>
        <v>#DIV/0!</v>
      </c>
      <c r="AE27" s="264" t="e">
        <f t="shared" si="21"/>
        <v>#DIV/0!</v>
      </c>
      <c r="AF27" s="250" t="e">
        <f t="shared" si="3"/>
        <v>#DIV/0!</v>
      </c>
    </row>
    <row r="28" spans="1:32" ht="12.75">
      <c r="A28" s="184"/>
      <c r="B28" s="208">
        <f t="shared" si="4"/>
        <v>14</v>
      </c>
      <c r="C28" s="209">
        <v>48</v>
      </c>
      <c r="D28" s="210">
        <v>300</v>
      </c>
      <c r="E28" s="265">
        <f t="shared" si="5"/>
        <v>0</v>
      </c>
      <c r="F28" s="266">
        <f t="shared" si="6"/>
        <v>0</v>
      </c>
      <c r="G28" s="267">
        <f t="shared" si="7"/>
        <v>-100</v>
      </c>
      <c r="H28" s="211">
        <v>100</v>
      </c>
      <c r="I28" s="268">
        <f t="shared" si="8"/>
        <v>0</v>
      </c>
      <c r="J28" s="267">
        <f t="shared" si="9"/>
        <v>-100</v>
      </c>
      <c r="K28" s="211">
        <v>100</v>
      </c>
      <c r="L28" s="268">
        <f t="shared" si="10"/>
        <v>0</v>
      </c>
      <c r="M28" s="267">
        <f t="shared" si="11"/>
        <v>-100</v>
      </c>
      <c r="N28" s="211">
        <v>100</v>
      </c>
      <c r="O28" s="196"/>
      <c r="P28" s="214"/>
      <c r="Q28" s="218"/>
      <c r="R28" s="219"/>
      <c r="S28" s="269" t="str">
        <f t="shared" si="12"/>
        <v> </v>
      </c>
      <c r="T28" s="261" t="e">
        <f t="shared" si="13"/>
        <v>#DIV/0!</v>
      </c>
      <c r="U28" s="262" t="e">
        <f t="shared" si="14"/>
        <v>#DIV/0!</v>
      </c>
      <c r="V28" s="263" t="e">
        <f t="shared" si="15"/>
        <v>#DIV/0!</v>
      </c>
      <c r="W28" s="264" t="e">
        <f t="shared" si="0"/>
        <v>#DIV/0!</v>
      </c>
      <c r="X28" s="250" t="e">
        <f t="shared" si="1"/>
        <v>#DIV/0!</v>
      </c>
      <c r="Y28" s="262" t="e">
        <f t="shared" si="16"/>
        <v>#DIV/0!</v>
      </c>
      <c r="Z28" s="263" t="e">
        <f t="shared" si="17"/>
        <v>#DIV/0!</v>
      </c>
      <c r="AA28" s="264" t="e">
        <f t="shared" si="18"/>
        <v>#DIV/0!</v>
      </c>
      <c r="AB28" s="250" t="e">
        <f t="shared" si="2"/>
        <v>#DIV/0!</v>
      </c>
      <c r="AC28" s="262" t="e">
        <f t="shared" si="19"/>
        <v>#DIV/0!</v>
      </c>
      <c r="AD28" s="263" t="e">
        <f t="shared" si="20"/>
        <v>#DIV/0!</v>
      </c>
      <c r="AE28" s="264" t="e">
        <f t="shared" si="21"/>
        <v>#DIV/0!</v>
      </c>
      <c r="AF28" s="250" t="e">
        <f t="shared" si="3"/>
        <v>#DIV/0!</v>
      </c>
    </row>
    <row r="29" spans="1:32" ht="12.75">
      <c r="A29" s="184"/>
      <c r="B29" s="208">
        <f t="shared" si="4"/>
        <v>15</v>
      </c>
      <c r="C29" s="209">
        <v>65</v>
      </c>
      <c r="D29" s="210">
        <v>212</v>
      </c>
      <c r="E29" s="265">
        <f t="shared" si="5"/>
        <v>252.19040425836982</v>
      </c>
      <c r="F29" s="266">
        <f t="shared" si="6"/>
        <v>0</v>
      </c>
      <c r="G29" s="267">
        <f t="shared" si="7"/>
        <v>2.7601809954751104</v>
      </c>
      <c r="H29" s="211">
        <v>97.23981900452489</v>
      </c>
      <c r="I29" s="268">
        <f t="shared" si="8"/>
        <v>0</v>
      </c>
      <c r="J29" s="267">
        <f t="shared" si="9"/>
        <v>4.861111111111114</v>
      </c>
      <c r="K29" s="211">
        <v>95.13888888888889</v>
      </c>
      <c r="L29" s="268">
        <f t="shared" si="10"/>
        <v>0</v>
      </c>
      <c r="M29" s="267">
        <f t="shared" si="11"/>
        <v>0.47945205479452113</v>
      </c>
      <c r="N29" s="211">
        <v>99.52054794520548</v>
      </c>
      <c r="O29" s="196"/>
      <c r="P29" s="214"/>
      <c r="Q29" s="218"/>
      <c r="R29" s="219"/>
      <c r="S29" s="269" t="str">
        <f t="shared" si="12"/>
        <v> </v>
      </c>
      <c r="T29" s="261" t="e">
        <f t="shared" si="13"/>
        <v>#DIV/0!</v>
      </c>
      <c r="U29" s="262" t="e">
        <f t="shared" si="14"/>
        <v>#DIV/0!</v>
      </c>
      <c r="V29" s="263" t="e">
        <f t="shared" si="15"/>
        <v>#DIV/0!</v>
      </c>
      <c r="W29" s="264" t="e">
        <f t="shared" si="0"/>
        <v>#DIV/0!</v>
      </c>
      <c r="X29" s="250" t="e">
        <f t="shared" si="1"/>
        <v>#DIV/0!</v>
      </c>
      <c r="Y29" s="262" t="e">
        <f t="shared" si="16"/>
        <v>#DIV/0!</v>
      </c>
      <c r="Z29" s="263" t="e">
        <f t="shared" si="17"/>
        <v>#DIV/0!</v>
      </c>
      <c r="AA29" s="264" t="e">
        <f t="shared" si="18"/>
        <v>#DIV/0!</v>
      </c>
      <c r="AB29" s="250" t="e">
        <f t="shared" si="2"/>
        <v>#DIV/0!</v>
      </c>
      <c r="AC29" s="262" t="e">
        <f t="shared" si="19"/>
        <v>#DIV/0!</v>
      </c>
      <c r="AD29" s="263" t="e">
        <f t="shared" si="20"/>
        <v>#DIV/0!</v>
      </c>
      <c r="AE29" s="264" t="e">
        <f t="shared" si="21"/>
        <v>#DIV/0!</v>
      </c>
      <c r="AF29" s="250" t="e">
        <f t="shared" si="3"/>
        <v>#DIV/0!</v>
      </c>
    </row>
    <row r="30" spans="1:32" ht="12.75">
      <c r="A30" s="184"/>
      <c r="B30" s="208">
        <f t="shared" si="4"/>
        <v>16</v>
      </c>
      <c r="C30" s="209">
        <v>100</v>
      </c>
      <c r="D30" s="210">
        <v>150</v>
      </c>
      <c r="E30" s="265">
        <f t="shared" si="5"/>
        <v>178.3255450012701</v>
      </c>
      <c r="F30" s="266">
        <f t="shared" si="6"/>
        <v>0</v>
      </c>
      <c r="G30" s="267">
        <f t="shared" si="7"/>
        <v>6.312217194570138</v>
      </c>
      <c r="H30" s="211">
        <v>90.92760180995475</v>
      </c>
      <c r="I30" s="268">
        <f t="shared" si="8"/>
        <v>0</v>
      </c>
      <c r="J30" s="267">
        <f t="shared" si="9"/>
        <v>16.076388888888886</v>
      </c>
      <c r="K30" s="211">
        <v>79.0625</v>
      </c>
      <c r="L30" s="268">
        <f t="shared" si="10"/>
        <v>0</v>
      </c>
      <c r="M30" s="267">
        <f t="shared" si="11"/>
        <v>1.735159817351601</v>
      </c>
      <c r="N30" s="211">
        <v>97.78538812785388</v>
      </c>
      <c r="O30" s="196"/>
      <c r="P30" s="214"/>
      <c r="Q30" s="218"/>
      <c r="R30" s="219"/>
      <c r="S30" s="269">
        <f t="shared" si="12"/>
        <v>0.5779795595302422</v>
      </c>
      <c r="T30" s="261" t="e">
        <f t="shared" si="13"/>
        <v>#DIV/0!</v>
      </c>
      <c r="U30" s="262" t="e">
        <f t="shared" si="14"/>
        <v>#DIV/0!</v>
      </c>
      <c r="V30" s="263" t="e">
        <f t="shared" si="15"/>
        <v>#DIV/0!</v>
      </c>
      <c r="W30" s="264" t="e">
        <f t="shared" si="0"/>
        <v>#DIV/0!</v>
      </c>
      <c r="X30" s="250" t="e">
        <f t="shared" si="1"/>
        <v>#DIV/0!</v>
      </c>
      <c r="Y30" s="262" t="e">
        <f t="shared" si="16"/>
        <v>#DIV/0!</v>
      </c>
      <c r="Z30" s="263" t="e">
        <f t="shared" si="17"/>
        <v>#DIV/0!</v>
      </c>
      <c r="AA30" s="264" t="e">
        <f t="shared" si="18"/>
        <v>#DIV/0!</v>
      </c>
      <c r="AB30" s="250" t="e">
        <f t="shared" si="2"/>
        <v>#DIV/0!</v>
      </c>
      <c r="AC30" s="262" t="e">
        <f t="shared" si="19"/>
        <v>#DIV/0!</v>
      </c>
      <c r="AD30" s="263" t="e">
        <f t="shared" si="20"/>
        <v>#DIV/0!</v>
      </c>
      <c r="AE30" s="264" t="e">
        <f t="shared" si="21"/>
        <v>#DIV/0!</v>
      </c>
      <c r="AF30" s="250" t="e">
        <f t="shared" si="3"/>
        <v>#DIV/0!</v>
      </c>
    </row>
    <row r="31" spans="1:32" ht="12.75">
      <c r="A31" s="184"/>
      <c r="B31" s="208">
        <f t="shared" si="4"/>
        <v>17</v>
      </c>
      <c r="C31" s="209">
        <v>150</v>
      </c>
      <c r="D31" s="210">
        <v>106</v>
      </c>
      <c r="E31" s="265">
        <f t="shared" si="5"/>
        <v>126.09520212918491</v>
      </c>
      <c r="F31" s="266">
        <f t="shared" si="6"/>
        <v>0</v>
      </c>
      <c r="G31" s="267">
        <f t="shared" si="7"/>
        <v>12.488687782805428</v>
      </c>
      <c r="H31" s="211">
        <v>78.43891402714932</v>
      </c>
      <c r="I31" s="268">
        <f t="shared" si="8"/>
        <v>0</v>
      </c>
      <c r="J31" s="267">
        <f t="shared" si="9"/>
        <v>31.336805555555557</v>
      </c>
      <c r="K31" s="211">
        <v>47.72569444444444</v>
      </c>
      <c r="L31" s="268">
        <f t="shared" si="10"/>
        <v>0</v>
      </c>
      <c r="M31" s="267">
        <f t="shared" si="11"/>
        <v>3.6529680365296855</v>
      </c>
      <c r="N31" s="211">
        <v>94.13242009132419</v>
      </c>
      <c r="O31" s="196"/>
      <c r="P31" s="214"/>
      <c r="Q31" s="218"/>
      <c r="R31" s="219"/>
      <c r="S31" s="269">
        <f t="shared" si="12"/>
        <v>0.5109690966105078</v>
      </c>
      <c r="T31" s="261" t="e">
        <f t="shared" si="13"/>
        <v>#DIV/0!</v>
      </c>
      <c r="U31" s="262" t="e">
        <f t="shared" si="14"/>
        <v>#DIV/0!</v>
      </c>
      <c r="V31" s="263" t="e">
        <f t="shared" si="15"/>
        <v>#DIV/0!</v>
      </c>
      <c r="W31" s="264" t="e">
        <f t="shared" si="0"/>
        <v>#DIV/0!</v>
      </c>
      <c r="X31" s="250" t="e">
        <f t="shared" si="1"/>
        <v>#DIV/0!</v>
      </c>
      <c r="Y31" s="262" t="e">
        <f t="shared" si="16"/>
        <v>#DIV/0!</v>
      </c>
      <c r="Z31" s="263" t="e">
        <f t="shared" si="17"/>
        <v>#DIV/0!</v>
      </c>
      <c r="AA31" s="264" t="e">
        <f t="shared" si="18"/>
        <v>#DIV/0!</v>
      </c>
      <c r="AB31" s="250" t="e">
        <f t="shared" si="2"/>
        <v>#DIV/0!</v>
      </c>
      <c r="AC31" s="262" t="e">
        <f t="shared" si="19"/>
        <v>#DIV/0!</v>
      </c>
      <c r="AD31" s="263" t="e">
        <f t="shared" si="20"/>
        <v>#DIV/0!</v>
      </c>
      <c r="AE31" s="264" t="e">
        <f t="shared" si="21"/>
        <v>#DIV/0!</v>
      </c>
      <c r="AF31" s="250" t="e">
        <f t="shared" si="3"/>
        <v>#DIV/0!</v>
      </c>
    </row>
    <row r="32" spans="1:32" ht="12.75">
      <c r="A32" s="184"/>
      <c r="B32" s="208">
        <f t="shared" si="4"/>
        <v>18</v>
      </c>
      <c r="C32" s="209">
        <v>200</v>
      </c>
      <c r="D32" s="210">
        <v>75</v>
      </c>
      <c r="E32" s="265">
        <f t="shared" si="5"/>
        <v>89.16277250063504</v>
      </c>
      <c r="F32" s="266">
        <f t="shared" si="6"/>
        <v>0</v>
      </c>
      <c r="G32" s="267">
        <f t="shared" si="7"/>
        <v>11.990950226244351</v>
      </c>
      <c r="H32" s="211">
        <v>66.44796380090497</v>
      </c>
      <c r="I32" s="268">
        <f t="shared" si="8"/>
        <v>0</v>
      </c>
      <c r="J32" s="267">
        <f t="shared" si="9"/>
        <v>20.989583333333332</v>
      </c>
      <c r="K32" s="211">
        <v>26.73611111111111</v>
      </c>
      <c r="L32" s="268">
        <f t="shared" si="10"/>
        <v>0</v>
      </c>
      <c r="M32" s="267">
        <f t="shared" si="11"/>
        <v>6.392694063926939</v>
      </c>
      <c r="N32" s="211">
        <v>87.73972602739725</v>
      </c>
      <c r="O32" s="196"/>
      <c r="P32" s="214"/>
      <c r="Q32" s="218"/>
      <c r="R32" s="219"/>
      <c r="S32" s="269">
        <f t="shared" si="12"/>
        <v>0.5361563559577861</v>
      </c>
      <c r="T32" s="261" t="e">
        <f t="shared" si="13"/>
        <v>#DIV/0!</v>
      </c>
      <c r="U32" s="262" t="e">
        <f t="shared" si="14"/>
        <v>#DIV/0!</v>
      </c>
      <c r="V32" s="263" t="e">
        <f t="shared" si="15"/>
        <v>#DIV/0!</v>
      </c>
      <c r="W32" s="264" t="e">
        <f t="shared" si="0"/>
        <v>#DIV/0!</v>
      </c>
      <c r="X32" s="250" t="e">
        <f t="shared" si="1"/>
        <v>#DIV/0!</v>
      </c>
      <c r="Y32" s="262" t="e">
        <f t="shared" si="16"/>
        <v>#DIV/0!</v>
      </c>
      <c r="Z32" s="263" t="e">
        <f t="shared" si="17"/>
        <v>#DIV/0!</v>
      </c>
      <c r="AA32" s="264" t="e">
        <f t="shared" si="18"/>
        <v>#DIV/0!</v>
      </c>
      <c r="AB32" s="250" t="e">
        <f t="shared" si="2"/>
        <v>#DIV/0!</v>
      </c>
      <c r="AC32" s="262" t="e">
        <f t="shared" si="19"/>
        <v>#DIV/0!</v>
      </c>
      <c r="AD32" s="263" t="e">
        <f t="shared" si="20"/>
        <v>#DIV/0!</v>
      </c>
      <c r="AE32" s="264" t="e">
        <f t="shared" si="21"/>
        <v>#DIV/0!</v>
      </c>
      <c r="AF32" s="250" t="e">
        <f t="shared" si="3"/>
        <v>#DIV/0!</v>
      </c>
    </row>
    <row r="33" spans="1:32" ht="12.75">
      <c r="A33" s="184"/>
      <c r="B33" s="208">
        <f t="shared" si="4"/>
        <v>19</v>
      </c>
      <c r="C33" s="209">
        <v>270</v>
      </c>
      <c r="D33" s="210">
        <v>53</v>
      </c>
      <c r="E33" s="265">
        <f t="shared" si="5"/>
        <v>63.047601064592456</v>
      </c>
      <c r="F33" s="266">
        <f t="shared" si="6"/>
        <v>0</v>
      </c>
      <c r="G33" s="267">
        <f t="shared" si="7"/>
        <v>7.941176470588239</v>
      </c>
      <c r="H33" s="211">
        <v>58.50678733031673</v>
      </c>
      <c r="I33" s="268">
        <f t="shared" si="8"/>
        <v>0</v>
      </c>
      <c r="J33" s="267">
        <f t="shared" si="9"/>
        <v>8.819444444444443</v>
      </c>
      <c r="K33" s="211">
        <v>17.916666666666668</v>
      </c>
      <c r="L33" s="268">
        <f t="shared" si="10"/>
        <v>0</v>
      </c>
      <c r="M33" s="267">
        <f t="shared" si="11"/>
        <v>8.173515981735164</v>
      </c>
      <c r="N33" s="211">
        <v>79.56621004566209</v>
      </c>
      <c r="O33" s="196"/>
      <c r="P33" s="214"/>
      <c r="Q33" s="218"/>
      <c r="R33" s="219"/>
      <c r="S33" s="269">
        <f t="shared" si="12"/>
        <v>0.5188312419628955</v>
      </c>
      <c r="T33" s="261" t="e">
        <f t="shared" si="13"/>
        <v>#DIV/0!</v>
      </c>
      <c r="U33" s="262" t="e">
        <f t="shared" si="14"/>
        <v>#DIV/0!</v>
      </c>
      <c r="V33" s="263" t="e">
        <f t="shared" si="15"/>
        <v>#DIV/0!</v>
      </c>
      <c r="W33" s="264" t="e">
        <f t="shared" si="0"/>
        <v>#DIV/0!</v>
      </c>
      <c r="X33" s="250" t="e">
        <f t="shared" si="1"/>
        <v>#DIV/0!</v>
      </c>
      <c r="Y33" s="262" t="e">
        <f t="shared" si="16"/>
        <v>#DIV/0!</v>
      </c>
      <c r="Z33" s="263" t="e">
        <f t="shared" si="17"/>
        <v>#DIV/0!</v>
      </c>
      <c r="AA33" s="264" t="e">
        <f>AA34+Z34</f>
        <v>#DIV/0!</v>
      </c>
      <c r="AB33" s="250" t="e">
        <f t="shared" si="2"/>
        <v>#DIV/0!</v>
      </c>
      <c r="AC33" s="262" t="e">
        <f t="shared" si="19"/>
        <v>#DIV/0!</v>
      </c>
      <c r="AD33" s="263" t="e">
        <f t="shared" si="20"/>
        <v>#DIV/0!</v>
      </c>
      <c r="AE33" s="264" t="e">
        <f>AE34+AD34</f>
        <v>#DIV/0!</v>
      </c>
      <c r="AF33" s="250" t="e">
        <f t="shared" si="3"/>
        <v>#DIV/0!</v>
      </c>
    </row>
    <row r="34" spans="1:32" ht="12.75">
      <c r="A34" s="184"/>
      <c r="B34" s="208">
        <f t="shared" si="4"/>
        <v>20</v>
      </c>
      <c r="C34" s="209">
        <v>400</v>
      </c>
      <c r="D34" s="210">
        <v>38</v>
      </c>
      <c r="E34" s="265">
        <f t="shared" si="5"/>
        <v>44.87761134463375</v>
      </c>
      <c r="F34" s="266">
        <f t="shared" si="6"/>
        <v>0</v>
      </c>
      <c r="G34" s="267">
        <f t="shared" si="7"/>
        <v>5.9954751131221755</v>
      </c>
      <c r="H34" s="211">
        <v>52.51131221719456</v>
      </c>
      <c r="I34" s="268">
        <f t="shared" si="8"/>
        <v>0</v>
      </c>
      <c r="J34" s="267">
        <f t="shared" si="9"/>
        <v>4.184027777777779</v>
      </c>
      <c r="K34" s="211">
        <v>13.73263888888889</v>
      </c>
      <c r="L34" s="268">
        <f t="shared" si="10"/>
        <v>0</v>
      </c>
      <c r="M34" s="267">
        <f t="shared" si="11"/>
        <v>6.9178082191780845</v>
      </c>
      <c r="N34" s="211">
        <v>72.648401826484</v>
      </c>
      <c r="O34" s="196"/>
      <c r="P34" s="214"/>
      <c r="Q34" s="218"/>
      <c r="R34" s="219" t="s">
        <v>110</v>
      </c>
      <c r="S34" s="269">
        <f t="shared" si="12"/>
        <v>0.5192825819183144</v>
      </c>
      <c r="T34" s="261" t="e">
        <f t="shared" si="13"/>
        <v>#DIV/0!</v>
      </c>
      <c r="U34" s="262" t="e">
        <f t="shared" si="14"/>
        <v>#DIV/0!</v>
      </c>
      <c r="V34" s="263" t="e">
        <f t="shared" si="15"/>
        <v>#DIV/0!</v>
      </c>
      <c r="W34" s="270" t="e">
        <f>V35</f>
        <v>#DIV/0!</v>
      </c>
      <c r="X34" s="271" t="e">
        <f t="shared" si="1"/>
        <v>#DIV/0!</v>
      </c>
      <c r="Y34" s="262" t="e">
        <f t="shared" si="16"/>
        <v>#DIV/0!</v>
      </c>
      <c r="Z34" s="263" t="e">
        <f t="shared" si="17"/>
        <v>#DIV/0!</v>
      </c>
      <c r="AA34" s="270" t="e">
        <f>Z35</f>
        <v>#DIV/0!</v>
      </c>
      <c r="AB34" s="271" t="e">
        <f t="shared" si="2"/>
        <v>#DIV/0!</v>
      </c>
      <c r="AC34" s="262" t="e">
        <f t="shared" si="19"/>
        <v>#DIV/0!</v>
      </c>
      <c r="AD34" s="263" t="e">
        <f t="shared" si="20"/>
        <v>#DIV/0!</v>
      </c>
      <c r="AE34" s="270" t="e">
        <f>AD35</f>
        <v>#DIV/0!</v>
      </c>
      <c r="AF34" s="272" t="e">
        <f t="shared" si="3"/>
        <v>#DIV/0!</v>
      </c>
    </row>
    <row r="35" spans="1:32" ht="12.75">
      <c r="A35" s="184"/>
      <c r="B35" s="208">
        <v>21</v>
      </c>
      <c r="C35" s="212">
        <v>-400</v>
      </c>
      <c r="D35" s="273">
        <v>0</v>
      </c>
      <c r="E35" s="274">
        <f>(D34+D35)/2</f>
        <v>19</v>
      </c>
      <c r="F35" s="275">
        <f t="shared" si="6"/>
        <v>0</v>
      </c>
      <c r="G35" s="276">
        <f t="shared" si="7"/>
        <v>52.51131221719456</v>
      </c>
      <c r="H35" s="243">
        <v>0</v>
      </c>
      <c r="I35" s="277">
        <f t="shared" si="8"/>
        <v>0</v>
      </c>
      <c r="J35" s="276">
        <f t="shared" si="9"/>
        <v>13.73263888888889</v>
      </c>
      <c r="K35" s="243">
        <v>0</v>
      </c>
      <c r="L35" s="277">
        <f t="shared" si="10"/>
        <v>0</v>
      </c>
      <c r="M35" s="276">
        <f t="shared" si="11"/>
        <v>72.648401826484</v>
      </c>
      <c r="N35" s="243">
        <v>0</v>
      </c>
      <c r="O35" s="196"/>
      <c r="P35" s="214"/>
      <c r="Q35" s="218"/>
      <c r="R35" s="219" t="s">
        <v>109</v>
      </c>
      <c r="S35" s="278"/>
      <c r="T35" s="279" t="e">
        <f t="shared" si="13"/>
        <v>#DIV/0!</v>
      </c>
      <c r="U35" s="262" t="e">
        <f t="shared" si="14"/>
        <v>#DIV/0!</v>
      </c>
      <c r="V35" s="263" t="e">
        <f t="shared" si="15"/>
        <v>#DIV/0!</v>
      </c>
      <c r="W35" s="280"/>
      <c r="X35" s="219"/>
      <c r="Y35" s="262" t="e">
        <f t="shared" si="16"/>
        <v>#DIV/0!</v>
      </c>
      <c r="Z35" s="263" t="e">
        <f t="shared" si="17"/>
        <v>#DIV/0!</v>
      </c>
      <c r="AA35" s="280"/>
      <c r="AB35" s="219"/>
      <c r="AC35" s="262" t="e">
        <f t="shared" si="19"/>
        <v>#DIV/0!</v>
      </c>
      <c r="AD35" s="263" t="e">
        <f t="shared" si="20"/>
        <v>#DIV/0!</v>
      </c>
      <c r="AE35" s="280"/>
      <c r="AF35" s="219"/>
    </row>
    <row r="36" spans="1:32" ht="12.75">
      <c r="A36" s="184"/>
      <c r="B36" s="188" t="s">
        <v>95</v>
      </c>
      <c r="C36" s="188"/>
      <c r="D36" s="188"/>
      <c r="E36" s="188"/>
      <c r="F36" s="281">
        <f>SUM(F16:F35)</f>
        <v>0</v>
      </c>
      <c r="G36" s="282">
        <f>SUM(G16:G35)</f>
        <v>100</v>
      </c>
      <c r="H36" s="283"/>
      <c r="I36" s="284">
        <f>SUM(I16:I35)</f>
        <v>0</v>
      </c>
      <c r="J36" s="282">
        <f>SUM(J16:J35)</f>
        <v>100</v>
      </c>
      <c r="K36" s="283"/>
      <c r="L36" s="284">
        <f>SUM(L16:L35)</f>
        <v>0</v>
      </c>
      <c r="M36" s="282">
        <f>SUM(M16:M35)</f>
        <v>100</v>
      </c>
      <c r="N36" s="283"/>
      <c r="O36" s="285"/>
      <c r="P36" s="214"/>
      <c r="Q36" s="218"/>
      <c r="R36" s="189">
        <f>Control_Panel!D12</f>
        <v>0</v>
      </c>
      <c r="S36" s="286">
        <f>AVERAGE(S16:S34)</f>
        <v>0.5326437671959492</v>
      </c>
      <c r="T36" s="219"/>
      <c r="U36" s="287" t="e">
        <f>SUM(U16:U35)</f>
        <v>#DIV/0!</v>
      </c>
      <c r="V36" s="288" t="e">
        <f>SUM(V16:V35)</f>
        <v>#DIV/0!</v>
      </c>
      <c r="W36" s="289"/>
      <c r="X36" s="290"/>
      <c r="Y36" s="287" t="e">
        <f>SUM(Y16:Y35)</f>
        <v>#DIV/0!</v>
      </c>
      <c r="Z36" s="288" t="e">
        <f>SUM(Z16:Z35)</f>
        <v>#DIV/0!</v>
      </c>
      <c r="AA36" s="289"/>
      <c r="AB36" s="290"/>
      <c r="AC36" s="287" t="e">
        <f>SUM(AC16:AC35)</f>
        <v>#DIV/0!</v>
      </c>
      <c r="AD36" s="288" t="e">
        <f>SUM(AD16:AD35)</f>
        <v>#DIV/0!</v>
      </c>
      <c r="AE36" s="289"/>
      <c r="AF36" s="290"/>
    </row>
    <row r="37" spans="1:32" ht="12.75">
      <c r="A37" s="184"/>
      <c r="B37" s="186"/>
      <c r="C37" s="186"/>
      <c r="D37" s="186"/>
      <c r="E37" s="186"/>
      <c r="F37" s="186"/>
      <c r="G37" s="186"/>
      <c r="H37" s="231"/>
      <c r="I37" s="186"/>
      <c r="J37" s="186"/>
      <c r="K37" s="231"/>
      <c r="L37" s="186"/>
      <c r="M37" s="186"/>
      <c r="N37" s="231"/>
      <c r="O37" s="187"/>
      <c r="P37" s="214"/>
      <c r="Q37" s="218"/>
      <c r="R37" s="219"/>
      <c r="S37" s="219"/>
      <c r="T37" s="291"/>
      <c r="U37" s="219"/>
      <c r="V37" s="219"/>
      <c r="W37" s="292"/>
      <c r="X37" s="219"/>
      <c r="Y37" s="219"/>
      <c r="Z37" s="219"/>
      <c r="AA37" s="292"/>
      <c r="AB37" s="219"/>
      <c r="AC37" s="219"/>
      <c r="AD37" s="219"/>
      <c r="AE37" s="219"/>
      <c r="AF37" s="219"/>
    </row>
    <row r="38" spans="1:32" ht="12.75">
      <c r="A38" s="184"/>
      <c r="B38" s="188" t="s">
        <v>76</v>
      </c>
      <c r="C38" s="186"/>
      <c r="D38" s="186"/>
      <c r="E38" s="186"/>
      <c r="F38" s="186"/>
      <c r="G38" s="186"/>
      <c r="H38" s="211">
        <v>30.3</v>
      </c>
      <c r="I38" s="186"/>
      <c r="J38" s="186"/>
      <c r="K38" s="211">
        <v>65.5</v>
      </c>
      <c r="L38" s="186"/>
      <c r="M38" s="186"/>
      <c r="N38" s="211">
        <v>17.3</v>
      </c>
      <c r="O38" s="196"/>
      <c r="P38" s="214"/>
      <c r="Q38" s="218"/>
      <c r="R38" s="189">
        <f>Control_Panel!D13</f>
        <v>0</v>
      </c>
      <c r="S38" s="200">
        <f>IF(H38*K38&gt;0,(1/N38-1/H38)/(1/H38-1/K38)," ")</f>
        <v>1.3982856016815557</v>
      </c>
      <c r="T38" s="293" t="e">
        <f>((1+$T$40)*(1/H38)-$T$40*(1/K38)-(1/N38))/((1+$T$40)^2/2/$I$40+$T$40^2/2/$L$40+1/2/$O$40)</f>
        <v>#DIV/0!</v>
      </c>
      <c r="U38" s="219"/>
      <c r="V38" s="219"/>
      <c r="W38" s="294" t="e">
        <f>1/(1/H38-T38*(1+$T$40)/2/$I$40)</f>
        <v>#DIV/0!</v>
      </c>
      <c r="X38" s="295" t="e">
        <f>W38-H38</f>
        <v>#DIV/0!</v>
      </c>
      <c r="Y38" s="219"/>
      <c r="Z38" s="219"/>
      <c r="AA38" s="294" t="e">
        <f>1/(1/N38+T38/2/$O$40)</f>
        <v>#DIV/0!</v>
      </c>
      <c r="AB38" s="295" t="e">
        <f>AA38-N38</f>
        <v>#DIV/0!</v>
      </c>
      <c r="AC38" s="219"/>
      <c r="AD38" s="219"/>
      <c r="AE38" s="294" t="e">
        <f>1/(1/K38+T38*$T$40/2/$L$40)</f>
        <v>#DIV/0!</v>
      </c>
      <c r="AF38" s="295" t="e">
        <f>AE38-K38</f>
        <v>#DIV/0!</v>
      </c>
    </row>
    <row r="39" spans="1:32" ht="12.75">
      <c r="A39" s="184"/>
      <c r="B39" s="188" t="s">
        <v>97</v>
      </c>
      <c r="C39" s="186"/>
      <c r="D39" s="186"/>
      <c r="E39" s="186"/>
      <c r="F39" s="192"/>
      <c r="G39" s="192"/>
      <c r="H39" s="296">
        <f>Control_Panel!D8</f>
        <v>0</v>
      </c>
      <c r="I39" s="192"/>
      <c r="J39" s="192"/>
      <c r="K39" s="296">
        <f>Control_Panel!D9</f>
        <v>0</v>
      </c>
      <c r="L39" s="192"/>
      <c r="M39" s="192"/>
      <c r="N39" s="296">
        <f>Control_Panel!D10</f>
        <v>0</v>
      </c>
      <c r="O39" s="193"/>
      <c r="P39" s="214"/>
      <c r="Q39" s="218"/>
      <c r="R39" s="297" t="s">
        <v>78</v>
      </c>
      <c r="S39" s="286" t="e">
        <f>(S36*R36+S38*R38)/(R36+R38)</f>
        <v>#DIV/0!</v>
      </c>
      <c r="T39" s="219"/>
      <c r="U39" s="219"/>
      <c r="V39" s="219"/>
      <c r="W39" s="219"/>
      <c r="X39" s="219"/>
      <c r="Y39" s="219"/>
      <c r="Z39" s="219"/>
      <c r="AA39" s="219"/>
      <c r="AB39" s="219"/>
      <c r="AC39" s="219"/>
      <c r="AD39" s="219"/>
      <c r="AE39" s="219"/>
      <c r="AF39" s="219"/>
    </row>
    <row r="40" spans="1:32" ht="13.5" thickBot="1">
      <c r="A40" s="203"/>
      <c r="B40" s="204"/>
      <c r="C40" s="204"/>
      <c r="D40" s="204"/>
      <c r="E40" s="204"/>
      <c r="F40" s="204"/>
      <c r="G40" s="204"/>
      <c r="H40" s="204"/>
      <c r="I40" s="204"/>
      <c r="J40" s="204"/>
      <c r="K40" s="204"/>
      <c r="L40" s="204"/>
      <c r="M40" s="204"/>
      <c r="N40" s="204"/>
      <c r="O40" s="205"/>
      <c r="P40" s="214"/>
      <c r="Q40" s="298"/>
      <c r="R40" s="299"/>
      <c r="S40" s="299"/>
      <c r="T40" s="299"/>
      <c r="U40" s="299"/>
      <c r="V40" s="299"/>
      <c r="W40" s="299"/>
      <c r="X40" s="299"/>
      <c r="Y40" s="299"/>
      <c r="Z40" s="299"/>
      <c r="AA40" s="299"/>
      <c r="AB40" s="299"/>
      <c r="AC40" s="299"/>
      <c r="AD40" s="299"/>
      <c r="AE40" s="299"/>
      <c r="AF40" s="299"/>
    </row>
    <row r="41" spans="1:32" ht="13.5" thickTop="1">
      <c r="A41" s="169"/>
      <c r="B41" s="213"/>
      <c r="C41" s="213"/>
      <c r="D41" s="213"/>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row>
    <row r="42" spans="1:32" ht="12.75">
      <c r="A42" s="169"/>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1:32" ht="12.75">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1:32" ht="12.75">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1:32" ht="12.75">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row>
    <row r="46" spans="1:32" ht="12.75">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row>
    <row r="47" spans="1:32" ht="12.75">
      <c r="A47" s="169"/>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row>
    <row r="48" spans="1:32" ht="12.75">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row>
    <row r="49" spans="1:32" ht="12.75">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row>
    <row r="50" spans="1:32" ht="12.75">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row>
    <row r="51" spans="1:32" ht="12.75">
      <c r="A51" s="169"/>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row>
    <row r="52" spans="1:32" ht="12.75">
      <c r="A52" s="169"/>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row>
    <row r="53" spans="1:32" ht="12.75">
      <c r="A53" s="169"/>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row>
    <row r="54" spans="1:32" ht="12.7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row>
    <row r="55" spans="1:32" ht="12.75">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row>
    <row r="56" spans="1:32" ht="12.75">
      <c r="A56" s="169"/>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row>
    <row r="57" spans="1:32" ht="12.75">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row>
    <row r="58" spans="1:32" ht="12.75">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row>
    <row r="59" spans="1:32" ht="12.75">
      <c r="A59" s="169"/>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row>
  </sheetData>
  <mergeCells count="11">
    <mergeCell ref="U13:W13"/>
    <mergeCell ref="Y13:AA13"/>
    <mergeCell ref="AC13:AE13"/>
    <mergeCell ref="F12:N12"/>
    <mergeCell ref="F13:H13"/>
    <mergeCell ref="I13:K13"/>
    <mergeCell ref="L13:N13"/>
    <mergeCell ref="C2:M2"/>
    <mergeCell ref="C4:H4"/>
    <mergeCell ref="C5:H5"/>
    <mergeCell ref="S11:AF11"/>
  </mergeCell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E. Sepúlveda</dc:creator>
  <cp:keywords/>
  <dc:description/>
  <cp:lastModifiedBy>eroman</cp:lastModifiedBy>
  <cp:lastPrinted>2003-12-02T21:37:25Z</cp:lastPrinted>
  <dcterms:created xsi:type="dcterms:W3CDTF">1999-02-02T17:19:59Z</dcterms:created>
  <dcterms:modified xsi:type="dcterms:W3CDTF">2003-12-02T21:39:10Z</dcterms:modified>
  <cp:category/>
  <cp:version/>
  <cp:contentType/>
  <cp:contentStatus/>
</cp:coreProperties>
</file>