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MD (2)" sheetId="1" r:id="rId1"/>
    <sheet name="Std Series" sheetId="2" r:id="rId2"/>
    <sheet name="FF" sheetId="3" r:id="rId3"/>
    <sheet name="BMD" sheetId="4" r:id="rId4"/>
  </sheets>
  <definedNames>
    <definedName name="_xlnm.Print_Area" localSheetId="3">'BMD'!$B$2:$S$46</definedName>
    <definedName name="_xlnm.Print_Area" localSheetId="0">'BMD (2)'!$B$2:$S$46</definedName>
    <definedName name="_xlnm.Print_Area" localSheetId="2">'FF'!$B$2:$S$46</definedName>
    <definedName name="_xlnm.Print_Area" localSheetId="1">'Std Series'!$B$2:$L$71</definedName>
    <definedName name="solver_adj" localSheetId="3" hidden="1">'BMD'!$I$9:$I$12</definedName>
    <definedName name="solver_adj" localSheetId="0" hidden="1">'BMD (2)'!$I$9:$I$12</definedName>
    <definedName name="solver_adj" localSheetId="2" hidden="1">'FF'!$I$9:$I$12</definedName>
    <definedName name="solver_cvg" localSheetId="3" hidden="1">0.0001</definedName>
    <definedName name="solver_cvg" localSheetId="0" hidden="1">0.0001</definedName>
    <definedName name="solver_cvg" localSheetId="2" hidden="1">0.0001</definedName>
    <definedName name="solver_drv" localSheetId="3" hidden="1">2</definedName>
    <definedName name="solver_drv" localSheetId="0" hidden="1">2</definedName>
    <definedName name="solver_drv" localSheetId="2" hidden="1">2</definedName>
    <definedName name="solver_eng" localSheetId="3" hidden="1">1</definedName>
    <definedName name="solver_eng" localSheetId="0" hidden="1">1</definedName>
    <definedName name="solver_eng" localSheetId="2" hidden="1">1</definedName>
    <definedName name="solver_est" localSheetId="3" hidden="1">1</definedName>
    <definedName name="solver_est" localSheetId="0" hidden="1">1</definedName>
    <definedName name="solver_est" localSheetId="2" hidden="1">1</definedName>
    <definedName name="solver_itr" localSheetId="3" hidden="1">100</definedName>
    <definedName name="solver_itr" localSheetId="0" hidden="1">100</definedName>
    <definedName name="solver_itr" localSheetId="2" hidden="1">100</definedName>
    <definedName name="solver_lin" localSheetId="3" hidden="1">2</definedName>
    <definedName name="solver_lin" localSheetId="0" hidden="1">2</definedName>
    <definedName name="solver_lin" localSheetId="2" hidden="1">2</definedName>
    <definedName name="solver_mip" localSheetId="3" hidden="1">2147483647</definedName>
    <definedName name="solver_mip" localSheetId="0" hidden="1">2147483647</definedName>
    <definedName name="solver_mip" localSheetId="2" hidden="1">2147483647</definedName>
    <definedName name="solver_mni" localSheetId="3" hidden="1">30</definedName>
    <definedName name="solver_mni" localSheetId="0" hidden="1">30</definedName>
    <definedName name="solver_mni" localSheetId="2" hidden="1">30</definedName>
    <definedName name="solver_mrt" localSheetId="3" hidden="1">0.075</definedName>
    <definedName name="solver_mrt" localSheetId="0" hidden="1">0.075</definedName>
    <definedName name="solver_mrt" localSheetId="2" hidden="1">0.075</definedName>
    <definedName name="solver_msl" localSheetId="3" hidden="1">2</definedName>
    <definedName name="solver_msl" localSheetId="0" hidden="1">2</definedName>
    <definedName name="solver_msl" localSheetId="2" hidden="1">2</definedName>
    <definedName name="solver_neg" localSheetId="3" hidden="1">2</definedName>
    <definedName name="solver_neg" localSheetId="0" hidden="1">2</definedName>
    <definedName name="solver_neg" localSheetId="2" hidden="1">2</definedName>
    <definedName name="solver_nod" localSheetId="3" hidden="1">2147483647</definedName>
    <definedName name="solver_nod" localSheetId="0" hidden="1">2147483647</definedName>
    <definedName name="solver_nod" localSheetId="2" hidden="1">2147483647</definedName>
    <definedName name="solver_num" localSheetId="3" hidden="1">0</definedName>
    <definedName name="solver_num" localSheetId="0" hidden="1">0</definedName>
    <definedName name="solver_num" localSheetId="2" hidden="1">0</definedName>
    <definedName name="solver_nwt" localSheetId="3" hidden="1">1</definedName>
    <definedName name="solver_nwt" localSheetId="0" hidden="1">1</definedName>
    <definedName name="solver_nwt" localSheetId="2" hidden="1">1</definedName>
    <definedName name="solver_opt" localSheetId="3" hidden="1">'BMD'!$G$45</definedName>
    <definedName name="solver_opt" localSheetId="0" hidden="1">'BMD (2)'!$G$45</definedName>
    <definedName name="solver_opt" localSheetId="2" hidden="1">'FF'!$G$45</definedName>
    <definedName name="solver_pre" localSheetId="3" hidden="1">0.000001</definedName>
    <definedName name="solver_pre" localSheetId="0" hidden="1">0.000001</definedName>
    <definedName name="solver_pre" localSheetId="2" hidden="1">0.000001</definedName>
    <definedName name="solver_rbv" localSheetId="3" hidden="1">2</definedName>
    <definedName name="solver_rbv" localSheetId="0" hidden="1">2</definedName>
    <definedName name="solver_rbv" localSheetId="2" hidden="1">2</definedName>
    <definedName name="solver_rlx" localSheetId="3" hidden="1">2</definedName>
    <definedName name="solver_rlx" localSheetId="0" hidden="1">2</definedName>
    <definedName name="solver_rlx" localSheetId="2" hidden="1">2</definedName>
    <definedName name="solver_rsd" localSheetId="3" hidden="1">0</definedName>
    <definedName name="solver_rsd" localSheetId="0" hidden="1">0</definedName>
    <definedName name="solver_rsd" localSheetId="2" hidden="1">0</definedName>
    <definedName name="solver_scl" localSheetId="3" hidden="1">1</definedName>
    <definedName name="solver_scl" localSheetId="0" hidden="1">1</definedName>
    <definedName name="solver_scl" localSheetId="2" hidden="1">1</definedName>
    <definedName name="solver_sho" localSheetId="3" hidden="1">2</definedName>
    <definedName name="solver_sho" localSheetId="0" hidden="1">2</definedName>
    <definedName name="solver_sho" localSheetId="2" hidden="1">2</definedName>
    <definedName name="solver_ssz" localSheetId="3" hidden="1">100</definedName>
    <definedName name="solver_ssz" localSheetId="0" hidden="1">100</definedName>
    <definedName name="solver_ssz" localSheetId="2" hidden="1">100</definedName>
    <definedName name="solver_tim" localSheetId="3" hidden="1">100</definedName>
    <definedName name="solver_tim" localSheetId="0" hidden="1">100</definedName>
    <definedName name="solver_tim" localSheetId="2" hidden="1">100</definedName>
    <definedName name="solver_tol" localSheetId="3" hidden="1">0.05</definedName>
    <definedName name="solver_tol" localSheetId="0" hidden="1">0.05</definedName>
    <definedName name="solver_tol" localSheetId="2" hidden="1">0.05</definedName>
    <definedName name="solver_typ" localSheetId="3" hidden="1">2</definedName>
    <definedName name="solver_typ" localSheetId="0" hidden="1">2</definedName>
    <definedName name="solver_typ" localSheetId="2" hidden="1">2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er" localSheetId="3" hidden="1">3</definedName>
    <definedName name="solver_ver" localSheetId="0" hidden="1">3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<sst xmlns="http://schemas.openxmlformats.org/spreadsheetml/2006/main" count="162" uniqueCount="76">
  <si>
    <t>i</t>
  </si>
  <si>
    <t>Mesh</t>
  </si>
  <si>
    <t>Opening</t>
  </si>
  <si>
    <t>#</t>
  </si>
  <si>
    <t>D50</t>
  </si>
  <si>
    <r>
      <t>m</t>
    </r>
    <r>
      <rPr>
        <sz val="10"/>
        <rFont val="Arial"/>
        <family val="0"/>
      </rPr>
      <t xml:space="preserve">m  </t>
    </r>
  </si>
  <si>
    <t>PARTICLE SIZE DISTRIBUTION</t>
  </si>
  <si>
    <t>TYLER</t>
  </si>
  <si>
    <t>U.S. BUREAU OF STANDARDS</t>
  </si>
  <si>
    <t>STANDARD SCREEN 1910</t>
  </si>
  <si>
    <t>A.S.T.M.  E 11-87</t>
  </si>
  <si>
    <t>ISO 565</t>
  </si>
  <si>
    <t>MESH</t>
  </si>
  <si>
    <t>mm</t>
  </si>
  <si>
    <t>4 1/4</t>
  </si>
  <si>
    <t>4</t>
  </si>
  <si>
    <t>3 1/2</t>
  </si>
  <si>
    <t>3</t>
  </si>
  <si>
    <t>2 1/2</t>
  </si>
  <si>
    <t>2 1/4</t>
  </si>
  <si>
    <t>2</t>
  </si>
  <si>
    <t>1 3/4</t>
  </si>
  <si>
    <t>1 1/2</t>
  </si>
  <si>
    <t>1 1/4</t>
  </si>
  <si>
    <t>7/8</t>
  </si>
  <si>
    <t>3/4</t>
  </si>
  <si>
    <t>5/8</t>
  </si>
  <si>
    <t>1/2</t>
  </si>
  <si>
    <t>7/16</t>
  </si>
  <si>
    <t>3/8</t>
  </si>
  <si>
    <t>5/16</t>
  </si>
  <si>
    <t>1/4</t>
  </si>
  <si>
    <t>*</t>
  </si>
  <si>
    <t>**</t>
  </si>
  <si>
    <r>
      <t xml:space="preserve">2 </t>
    </r>
    <r>
      <rPr>
        <sz val="8"/>
        <rFont val="Arial"/>
        <family val="2"/>
      </rPr>
      <t>1/2</t>
    </r>
  </si>
  <si>
    <r>
      <t>3</t>
    </r>
    <r>
      <rPr>
        <sz val="8"/>
        <rFont val="Arial"/>
        <family val="2"/>
      </rPr>
      <t xml:space="preserve"> 1/2</t>
    </r>
  </si>
  <si>
    <t>STANDARD SCREEN SERIES</t>
  </si>
  <si>
    <t>INTERNATIONAL</t>
  </si>
  <si>
    <t>OPENING</t>
  </si>
  <si>
    <t>Basic</t>
  </si>
  <si>
    <t>Secondary</t>
  </si>
  <si>
    <t>inches</t>
  </si>
  <si>
    <t>Inches</t>
  </si>
  <si>
    <t>WIRE</t>
  </si>
  <si>
    <t>Reference Screen : 200 Mesh. Basic Series 2^0.5 Ratio; Secondary Series 2^0.25 Ratio.</t>
  </si>
  <si>
    <t>Reference Screen 18 Mesh. Basic Series 2^0.25 Ratio.</t>
  </si>
  <si>
    <t>18 **</t>
  </si>
  <si>
    <t>200 *</t>
  </si>
  <si>
    <t>(Double Weibull Distribution Fit)</t>
  </si>
  <si>
    <t>Fines/Coarse Weighting Factor, Delta0</t>
  </si>
  <si>
    <t>Shape Factors :  Fines, Delta1</t>
  </si>
  <si>
    <t xml:space="preserve">                            Coarse, Delta2</t>
  </si>
  <si>
    <t>Formula</t>
  </si>
  <si>
    <t>Exp</t>
  </si>
  <si>
    <t>Fitted</t>
  </si>
  <si>
    <t>Cumm. % Passing</t>
  </si>
  <si>
    <t>Objective Function :</t>
  </si>
  <si>
    <r>
      <t>D</t>
    </r>
    <r>
      <rPr>
        <b/>
        <vertAlign val="subscript"/>
        <sz val="10"/>
        <rFont val="Arial"/>
        <family val="2"/>
      </rPr>
      <t>80</t>
    </r>
    <r>
      <rPr>
        <b/>
        <sz val="10"/>
        <rFont val="Arial"/>
        <family val="2"/>
      </rPr>
      <t xml:space="preserve"> = </t>
    </r>
  </si>
  <si>
    <r>
      <t>D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= </t>
    </r>
  </si>
  <si>
    <r>
      <t>D</t>
    </r>
    <r>
      <rPr>
        <b/>
        <vertAlign val="subscript"/>
        <sz val="10"/>
        <rFont val="Arial"/>
        <family val="2"/>
      </rPr>
      <t>80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= </t>
    </r>
  </si>
  <si>
    <t>Rmks :</t>
  </si>
  <si>
    <t>(% error)^2</t>
  </si>
  <si>
    <t>D80 Size, microns</t>
  </si>
  <si>
    <t>% Passing  =  {Delta0 * [1-exp(ln(0.2)*(D/D80)^Delta1]</t>
  </si>
  <si>
    <t>4"</t>
  </si>
  <si>
    <t xml:space="preserve">                     + (1-Delta0) * [1-exp(ln(0.2)*(D/D80)^Delta2]} * 100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</si>
  <si>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</si>
  <si>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>Use SOLVER Subroutine to determine best fitting parameters.</t>
  </si>
  <si>
    <t>2"</t>
  </si>
  <si>
    <t>3"</t>
  </si>
  <si>
    <t>3/4"</t>
  </si>
  <si>
    <t>1/2"</t>
  </si>
  <si>
    <t>1/4"</t>
  </si>
  <si>
    <t>3/8"</t>
  </si>
  <si>
    <t>1."</t>
  </si>
  <si>
    <t>1.5"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</si>
</sst>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9" formatCode="_(* #,##0_);_(* \(#,##0\);_(* &quot;-&quot;_);_(@_)"/>
    <numFmt numFmtId="171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90" formatCode="0.000"/>
    <numFmt numFmtId="192" formatCode="0\ "/>
    <numFmt numFmtId="193" formatCode="0.00\ "/>
    <numFmt numFmtId="219" formatCode="0.0000"/>
    <numFmt numFmtId="231" formatCode="0.000\ "/>
  </numFmts>
  <fonts count="5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sz val="14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sz val="10"/>
      <color indexed="63"/>
      <name val="Arial"/>
      <family val="0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horizontal="centerContinuous"/>
      <protection/>
    </xf>
    <xf numFmtId="0" fontId="2" fillId="34" borderId="16" xfId="0" applyFont="1" applyFill="1" applyBorder="1" applyAlignment="1" applyProtection="1">
      <alignment horizontal="centerContinuous"/>
      <protection/>
    </xf>
    <xf numFmtId="0" fontId="2" fillId="34" borderId="17" xfId="0" applyFont="1" applyFill="1" applyBorder="1" applyAlignment="1" applyProtection="1">
      <alignment horizontal="centerContinuous"/>
      <protection/>
    </xf>
    <xf numFmtId="0" fontId="2" fillId="34" borderId="18" xfId="0" applyFont="1" applyFill="1" applyBorder="1" applyAlignment="1" applyProtection="1">
      <alignment horizontal="centerContinuous"/>
      <protection/>
    </xf>
    <xf numFmtId="0" fontId="2" fillId="34" borderId="19" xfId="0" applyFont="1" applyFill="1" applyBorder="1" applyAlignment="1" applyProtection="1">
      <alignment horizontal="centerContinuous"/>
      <protection/>
    </xf>
    <xf numFmtId="0" fontId="2" fillId="34" borderId="20" xfId="0" applyFont="1" applyFill="1" applyBorder="1" applyAlignment="1" applyProtection="1">
      <alignment horizontal="centerContinuous"/>
      <protection/>
    </xf>
    <xf numFmtId="0" fontId="2" fillId="35" borderId="21" xfId="0" applyFont="1" applyFill="1" applyBorder="1" applyAlignment="1" applyProtection="1">
      <alignment horizontal="centerContinuous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219" fontId="0" fillId="34" borderId="35" xfId="0" applyNumberFormat="1" applyFill="1" applyBorder="1" applyAlignment="1" applyProtection="1">
      <alignment horizontal="right"/>
      <protection/>
    </xf>
    <xf numFmtId="219" fontId="0" fillId="34" borderId="36" xfId="0" applyNumberFormat="1" applyFill="1" applyBorder="1" applyAlignment="1" applyProtection="1">
      <alignment horizontal="right"/>
      <protection/>
    </xf>
    <xf numFmtId="2" fontId="0" fillId="34" borderId="32" xfId="0" applyNumberFormat="1" applyFill="1" applyBorder="1" applyAlignment="1" applyProtection="1">
      <alignment/>
      <protection/>
    </xf>
    <xf numFmtId="190" fontId="0" fillId="34" borderId="34" xfId="0" applyNumberFormat="1" applyFill="1" applyBorder="1" applyAlignment="1" applyProtection="1">
      <alignment/>
      <protection/>
    </xf>
    <xf numFmtId="0" fontId="0" fillId="33" borderId="32" xfId="0" applyFill="1" applyBorder="1" applyAlignment="1" applyProtection="1" quotePrefix="1">
      <alignment horizontal="center"/>
      <protection/>
    </xf>
    <xf numFmtId="219" fontId="0" fillId="34" borderId="33" xfId="0" applyNumberFormat="1" applyFill="1" applyBorder="1" applyAlignment="1" applyProtection="1">
      <alignment horizontal="right"/>
      <protection/>
    </xf>
    <xf numFmtId="219" fontId="0" fillId="34" borderId="37" xfId="0" applyNumberFormat="1" applyFill="1" applyBorder="1" applyAlignment="1" applyProtection="1">
      <alignment horizontal="right"/>
      <protection/>
    </xf>
    <xf numFmtId="0" fontId="0" fillId="34" borderId="32" xfId="0" applyFill="1" applyBorder="1" applyAlignment="1" applyProtection="1">
      <alignment/>
      <protection/>
    </xf>
    <xf numFmtId="219" fontId="0" fillId="34" borderId="33" xfId="0" applyNumberFormat="1" applyFill="1" applyBorder="1" applyAlignment="1" applyProtection="1">
      <alignment/>
      <protection/>
    </xf>
    <xf numFmtId="17" fontId="0" fillId="33" borderId="32" xfId="0" applyNumberFormat="1" applyFill="1" applyBorder="1" applyAlignment="1" applyProtection="1" quotePrefix="1">
      <alignment horizontal="center"/>
      <protection/>
    </xf>
    <xf numFmtId="219" fontId="0" fillId="34" borderId="37" xfId="0" applyNumberFormat="1" applyFill="1" applyBorder="1" applyAlignment="1" applyProtection="1">
      <alignment/>
      <protection/>
    </xf>
    <xf numFmtId="16" fontId="0" fillId="33" borderId="33" xfId="0" applyNumberFormat="1" applyFill="1" applyBorder="1" applyAlignment="1" applyProtection="1" quotePrefix="1">
      <alignment horizontal="center"/>
      <protection/>
    </xf>
    <xf numFmtId="219" fontId="0" fillId="34" borderId="34" xfId="0" applyNumberFormat="1" applyFill="1" applyBorder="1" applyAlignment="1" applyProtection="1">
      <alignment/>
      <protection/>
    </xf>
    <xf numFmtId="16" fontId="0" fillId="33" borderId="32" xfId="0" applyNumberFormat="1" applyFill="1" applyBorder="1" applyAlignment="1" applyProtection="1" quotePrefix="1">
      <alignment horizontal="center"/>
      <protection/>
    </xf>
    <xf numFmtId="0" fontId="0" fillId="33" borderId="32" xfId="0" applyFill="1" applyBorder="1" applyAlignment="1" applyProtection="1">
      <alignment horizontal="centerContinuous"/>
      <protection/>
    </xf>
    <xf numFmtId="0" fontId="0" fillId="33" borderId="33" xfId="0" applyFill="1" applyBorder="1" applyAlignment="1" applyProtection="1">
      <alignment horizontal="centerContinuous"/>
      <protection/>
    </xf>
    <xf numFmtId="0" fontId="12" fillId="0" borderId="32" xfId="0" applyFont="1" applyFill="1" applyBorder="1" applyAlignment="1" applyProtection="1">
      <alignment horizontal="centerContinuous"/>
      <protection/>
    </xf>
    <xf numFmtId="12" fontId="0" fillId="33" borderId="33" xfId="0" applyNumberFormat="1" applyFill="1" applyBorder="1" applyAlignment="1" applyProtection="1" quotePrefix="1">
      <alignment horizontal="center"/>
      <protection/>
    </xf>
    <xf numFmtId="12" fontId="0" fillId="33" borderId="32" xfId="0" applyNumberFormat="1" applyFill="1" applyBorder="1" applyAlignment="1" applyProtection="1" quotePrefix="1">
      <alignment horizontal="center"/>
      <protection/>
    </xf>
    <xf numFmtId="12" fontId="0" fillId="33" borderId="32" xfId="0" applyNumberForma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 quotePrefix="1">
      <alignment horizontal="center"/>
      <protection/>
    </xf>
    <xf numFmtId="0" fontId="0" fillId="33" borderId="32" xfId="0" applyFont="1" applyFill="1" applyBorder="1" applyAlignment="1" applyProtection="1" quotePrefix="1">
      <alignment horizontal="center"/>
      <protection/>
    </xf>
    <xf numFmtId="1" fontId="0" fillId="34" borderId="34" xfId="0" applyNumberFormat="1" applyFill="1" applyBorder="1" applyAlignment="1" applyProtection="1">
      <alignment/>
      <protection/>
    </xf>
    <xf numFmtId="0" fontId="0" fillId="36" borderId="32" xfId="0" applyFill="1" applyBorder="1" applyAlignment="1" applyProtection="1">
      <alignment horizontal="center"/>
      <protection/>
    </xf>
    <xf numFmtId="1" fontId="0" fillId="34" borderId="37" xfId="0" applyNumberFormat="1" applyFill="1" applyBorder="1" applyAlignment="1" applyProtection="1">
      <alignment/>
      <protection/>
    </xf>
    <xf numFmtId="1" fontId="0" fillId="34" borderId="32" xfId="0" applyNumberFormat="1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19" fontId="0" fillId="34" borderId="25" xfId="0" applyNumberFormat="1" applyFill="1" applyBorder="1" applyAlignment="1" applyProtection="1">
      <alignment/>
      <protection/>
    </xf>
    <xf numFmtId="1" fontId="0" fillId="34" borderId="26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190" fontId="0" fillId="34" borderId="34" xfId="0" applyNumberFormat="1" applyFill="1" applyBorder="1" applyAlignment="1" applyProtection="1">
      <alignment horizontal="right"/>
      <protection/>
    </xf>
    <xf numFmtId="219" fontId="0" fillId="34" borderId="25" xfId="0" applyNumberFormat="1" applyFill="1" applyBorder="1" applyAlignment="1" applyProtection="1">
      <alignment horizontal="right"/>
      <protection/>
    </xf>
    <xf numFmtId="1" fontId="0" fillId="34" borderId="27" xfId="0" applyNumberFormat="1" applyFill="1" applyBorder="1" applyAlignment="1" applyProtection="1">
      <alignment/>
      <protection/>
    </xf>
    <xf numFmtId="1" fontId="0" fillId="34" borderId="24" xfId="0" applyNumberFormat="1" applyFill="1" applyBorder="1" applyAlignment="1" applyProtection="1">
      <alignment/>
      <protection/>
    </xf>
    <xf numFmtId="190" fontId="0" fillId="34" borderId="26" xfId="0" applyNumberForma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 horizontal="left"/>
      <protection/>
    </xf>
    <xf numFmtId="0" fontId="2" fillId="33" borderId="39" xfId="0" applyFont="1" applyFill="1" applyBorder="1" applyAlignment="1" applyProtection="1">
      <alignment horizontal="right"/>
      <protection/>
    </xf>
    <xf numFmtId="0" fontId="0" fillId="33" borderId="4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193" fontId="0" fillId="34" borderId="33" xfId="0" applyNumberFormat="1" applyFill="1" applyBorder="1" applyAlignment="1" applyProtection="1">
      <alignment/>
      <protection locked="0"/>
    </xf>
    <xf numFmtId="192" fontId="0" fillId="34" borderId="33" xfId="0" applyNumberFormat="1" applyFill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11" fillId="34" borderId="36" xfId="0" applyFont="1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" fillId="33" borderId="46" xfId="0" applyFont="1" applyFill="1" applyBorder="1" applyAlignment="1" applyProtection="1">
      <alignment horizontal="center"/>
      <protection locked="0"/>
    </xf>
    <xf numFmtId="0" fontId="2" fillId="33" borderId="4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48" xfId="0" applyFont="1" applyFill="1" applyBorder="1" applyAlignment="1" applyProtection="1">
      <alignment horizontal="center"/>
      <protection locked="0"/>
    </xf>
    <xf numFmtId="0" fontId="2" fillId="33" borderId="49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92" fontId="3" fillId="33" borderId="46" xfId="0" applyNumberFormat="1" applyFont="1" applyFill="1" applyBorder="1" applyAlignment="1" applyProtection="1">
      <alignment/>
      <protection locked="0"/>
    </xf>
    <xf numFmtId="192" fontId="3" fillId="33" borderId="21" xfId="0" applyNumberFormat="1" applyFont="1" applyFill="1" applyBorder="1" applyAlignment="1" applyProtection="1">
      <alignment/>
      <protection locked="0"/>
    </xf>
    <xf numFmtId="192" fontId="3" fillId="33" borderId="48" xfId="0" applyNumberFormat="1" applyFont="1" applyFill="1" applyBorder="1" applyAlignment="1" applyProtection="1">
      <alignment/>
      <protection locked="0"/>
    </xf>
    <xf numFmtId="231" fontId="0" fillId="37" borderId="50" xfId="0" applyNumberForma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92" fontId="15" fillId="0" borderId="0" xfId="0" applyNumberFormat="1" applyFont="1" applyAlignment="1" applyProtection="1">
      <alignment/>
      <protection locked="0"/>
    </xf>
    <xf numFmtId="193" fontId="0" fillId="35" borderId="47" xfId="0" applyNumberFormat="1" applyFill="1" applyBorder="1" applyAlignment="1" applyProtection="1">
      <alignment/>
      <protection/>
    </xf>
    <xf numFmtId="193" fontId="0" fillId="35" borderId="51" xfId="0" applyNumberFormat="1" applyFill="1" applyBorder="1" applyAlignment="1" applyProtection="1">
      <alignment/>
      <protection/>
    </xf>
    <xf numFmtId="193" fontId="0" fillId="35" borderId="52" xfId="0" applyNumberFormat="1" applyFill="1" applyBorder="1" applyAlignment="1" applyProtection="1">
      <alignment/>
      <protection/>
    </xf>
    <xf numFmtId="193" fontId="0" fillId="35" borderId="53" xfId="0" applyNumberFormat="1" applyFill="1" applyBorder="1" applyAlignment="1" applyProtection="1">
      <alignment/>
      <protection/>
    </xf>
    <xf numFmtId="0" fontId="0" fillId="35" borderId="49" xfId="0" applyFill="1" applyBorder="1" applyAlignment="1" applyProtection="1">
      <alignment horizontal="center"/>
      <protection/>
    </xf>
    <xf numFmtId="192" fontId="0" fillId="35" borderId="49" xfId="0" applyNumberFormat="1" applyFill="1" applyBorder="1" applyAlignment="1" applyProtection="1">
      <alignment/>
      <protection/>
    </xf>
    <xf numFmtId="192" fontId="0" fillId="35" borderId="33" xfId="0" applyNumberFormat="1" applyFill="1" applyBorder="1" applyAlignment="1" applyProtection="1">
      <alignment/>
      <protection/>
    </xf>
    <xf numFmtId="193" fontId="0" fillId="35" borderId="33" xfId="0" applyNumberFormat="1" applyFill="1" applyBorder="1" applyAlignment="1" applyProtection="1">
      <alignment/>
      <protection/>
    </xf>
    <xf numFmtId="193" fontId="0" fillId="35" borderId="54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2" fillId="33" borderId="55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2" fillId="33" borderId="44" xfId="0" applyFont="1" applyFill="1" applyBorder="1" applyAlignment="1" applyProtection="1">
      <alignment horizontal="center"/>
      <protection locked="0"/>
    </xf>
    <xf numFmtId="0" fontId="12" fillId="34" borderId="37" xfId="0" applyFont="1" applyFill="1" applyBorder="1" applyAlignment="1" applyProtection="1">
      <alignment horizontal="center"/>
      <protection locked="0"/>
    </xf>
    <xf numFmtId="0" fontId="12" fillId="34" borderId="56" xfId="0" applyFont="1" applyFill="1" applyBorder="1" applyAlignment="1" applyProtection="1">
      <alignment horizontal="center"/>
      <protection locked="0"/>
    </xf>
    <xf numFmtId="0" fontId="12" fillId="34" borderId="57" xfId="0" applyFont="1" applyFill="1" applyBorder="1" applyAlignment="1" applyProtection="1">
      <alignment horizontal="center"/>
      <protection locked="0"/>
    </xf>
    <xf numFmtId="0" fontId="2" fillId="34" borderId="46" xfId="0" applyFont="1" applyFill="1" applyBorder="1" applyAlignment="1" applyProtection="1">
      <alignment horizontal="center"/>
      <protection/>
    </xf>
    <xf numFmtId="0" fontId="2" fillId="34" borderId="51" xfId="0" applyFont="1" applyFill="1" applyBorder="1" applyAlignment="1" applyProtection="1">
      <alignment horizontal="center"/>
      <protection/>
    </xf>
    <xf numFmtId="0" fontId="2" fillId="34" borderId="48" xfId="0" applyFont="1" applyFill="1" applyBorder="1" applyAlignment="1" applyProtection="1">
      <alignment horizontal="center"/>
      <protection/>
    </xf>
    <xf numFmtId="0" fontId="2" fillId="34" borderId="53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 locked="0"/>
    </xf>
    <xf numFmtId="0" fontId="2" fillId="35" borderId="29" xfId="0" applyFont="1" applyFill="1" applyBorder="1" applyAlignment="1" applyProtection="1">
      <alignment horizontal="center"/>
      <protection/>
    </xf>
    <xf numFmtId="0" fontId="2" fillId="35" borderId="58" xfId="0" applyFont="1" applyFill="1" applyBorder="1" applyAlignment="1" applyProtection="1">
      <alignment horizontal="center"/>
      <protection/>
    </xf>
    <xf numFmtId="0" fontId="2" fillId="35" borderId="59" xfId="0" applyFont="1" applyFill="1" applyBorder="1" applyAlignment="1" applyProtection="1">
      <alignment horizontal="center"/>
      <protection/>
    </xf>
    <xf numFmtId="0" fontId="2" fillId="35" borderId="60" xfId="0" applyFont="1" applyFill="1" applyBorder="1" applyAlignment="1" applyProtection="1">
      <alignment horizontal="center"/>
      <protection/>
    </xf>
    <xf numFmtId="0" fontId="0" fillId="34" borderId="33" xfId="0" applyFill="1" applyBorder="1" applyAlignment="1">
      <alignment horizontal="right"/>
    </xf>
    <xf numFmtId="0" fontId="0" fillId="34" borderId="33" xfId="0" applyFill="1" applyBorder="1" applyAlignment="1">
      <alignment/>
    </xf>
    <xf numFmtId="0" fontId="0" fillId="34" borderId="61" xfId="0" applyFill="1" applyBorder="1" applyAlignment="1">
      <alignment/>
    </xf>
    <xf numFmtId="2" fontId="0" fillId="34" borderId="62" xfId="0" applyNumberFormat="1" applyFill="1" applyBorder="1" applyAlignment="1">
      <alignment/>
    </xf>
    <xf numFmtId="2" fontId="0" fillId="34" borderId="37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5"/>
          <c:y val="0.02325"/>
          <c:w val="0.912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'BMD (2)'!$E$18:$E$42</c:f>
              <c:numCache/>
            </c:numRef>
          </c:xVal>
          <c:yVal>
            <c:numRef>
              <c:f>'BMD (2)'!$G$18:$G$42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'BMD (2)'!$C$50:$D$50</c:f>
              <c:numCache/>
            </c:numRef>
          </c:xVal>
          <c:yVal>
            <c:numRef>
              <c:f>'BMD (2)'!$C$51:$D$51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'BMD (2)'!$E$50:$F$50</c:f>
              <c:numCache/>
            </c:numRef>
          </c:xVal>
          <c:yVal>
            <c:numRef>
              <c:f>'BMD (2)'!$E$51:$F$51</c:f>
              <c:numCache/>
            </c:numRef>
          </c:yVal>
          <c:smooth val="1"/>
        </c:ser>
        <c:ser>
          <c:idx val="3"/>
          <c:order val="3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'BMD (2)'!$E$18:$E$42</c:f>
              <c:numCache/>
            </c:numRef>
          </c:xVal>
          <c:yVal>
            <c:numRef>
              <c:f>'BMD (2)'!$F$18:$F$42</c:f>
              <c:numCache/>
            </c:numRef>
          </c:yVal>
          <c:smooth val="1"/>
        </c:ser>
        <c:axId val="62379910"/>
        <c:axId val="7439479"/>
      </c:scatterChart>
      <c:valAx>
        <c:axId val="62379910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Size, microns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9479"/>
        <c:crosses val="autoZero"/>
        <c:crossBetween val="midCat"/>
        <c:dispUnits/>
      </c:valAx>
      <c:valAx>
        <c:axId val="743947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Passing indicated Size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9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5"/>
          <c:y val="0.02325"/>
          <c:w val="0.9112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'FF'!$E$18:$E$42</c:f>
              <c:numCache/>
            </c:numRef>
          </c:xVal>
          <c:yVal>
            <c:numRef>
              <c:f>'FF'!$G$18:$G$42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'FF'!$C$50:$D$50</c:f>
              <c:numCache/>
            </c:numRef>
          </c:xVal>
          <c:yVal>
            <c:numRef>
              <c:f>'FF'!$C$51:$D$51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'FF'!$E$50:$F$50</c:f>
              <c:numCache/>
            </c:numRef>
          </c:xVal>
          <c:yVal>
            <c:numRef>
              <c:f>'FF'!$E$51:$F$51</c:f>
              <c:numCache/>
            </c:numRef>
          </c:yVal>
          <c:smooth val="1"/>
        </c:ser>
        <c:ser>
          <c:idx val="3"/>
          <c:order val="3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'FF'!$E$18:$E$42</c:f>
              <c:numCache/>
            </c:numRef>
          </c:xVal>
          <c:yVal>
            <c:numRef>
              <c:f>'FF'!$F$18:$F$42</c:f>
              <c:numCache/>
            </c:numRef>
          </c:yVal>
          <c:smooth val="1"/>
        </c:ser>
        <c:axId val="36583184"/>
        <c:axId val="23515537"/>
      </c:scatterChart>
      <c:valAx>
        <c:axId val="36583184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Size, microns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15537"/>
        <c:crosses val="autoZero"/>
        <c:crossBetween val="midCat"/>
        <c:dispUnits/>
      </c:valAx>
      <c:valAx>
        <c:axId val="235155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Passing indicated Size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3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5"/>
          <c:y val="0.02325"/>
          <c:w val="0.912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BMD!$E$18:$E$42</c:f>
              <c:numCache/>
            </c:numRef>
          </c:xVal>
          <c:yVal>
            <c:numRef>
              <c:f>BMD!$G$18:$G$42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BMD!$C$50:$D$50</c:f>
              <c:numCache/>
            </c:numRef>
          </c:xVal>
          <c:yVal>
            <c:numRef>
              <c:f>BMD!$C$51:$D$51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BMD!$E$50:$F$50</c:f>
              <c:numCache/>
            </c:numRef>
          </c:xVal>
          <c:yVal>
            <c:numRef>
              <c:f>BMD!$E$51:$F$51</c:f>
              <c:numCache/>
            </c:numRef>
          </c:yVal>
          <c:smooth val="1"/>
        </c:ser>
        <c:ser>
          <c:idx val="3"/>
          <c:order val="3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BMD!$E$18:$E$42</c:f>
              <c:numCache/>
            </c:numRef>
          </c:xVal>
          <c:yVal>
            <c:numRef>
              <c:f>BMD!$F$18:$F$42</c:f>
              <c:numCache/>
            </c:numRef>
          </c:yVal>
          <c:smooth val="1"/>
        </c:ser>
        <c:axId val="24612922"/>
        <c:axId val="2496843"/>
      </c:scatterChart>
      <c:valAx>
        <c:axId val="24612922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Size, microns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6843"/>
        <c:crosses val="autoZero"/>
        <c:crossBetween val="midCat"/>
        <c:dispUnits/>
      </c:valAx>
      <c:valAx>
        <c:axId val="24968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Passing indicated Size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2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13</xdr:row>
      <xdr:rowOff>142875</xdr:rowOff>
    </xdr:from>
    <xdr:to>
      <xdr:col>17</xdr:col>
      <xdr:colOff>523875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171825" y="2390775"/>
        <a:ext cx="7229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304800</xdr:colOff>
      <xdr:row>1</xdr:row>
      <xdr:rowOff>85725</xdr:rowOff>
    </xdr:from>
    <xdr:to>
      <xdr:col>18</xdr:col>
      <xdr:colOff>9525</xdr:colOff>
      <xdr:row>2</xdr:row>
      <xdr:rowOff>104775</xdr:rowOff>
    </xdr:to>
    <xdr:pic>
      <xdr:nvPicPr>
        <xdr:cNvPr id="2" name="Picture 2" descr="Logo-SCA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809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</xdr:row>
      <xdr:rowOff>66675</xdr:rowOff>
    </xdr:from>
    <xdr:to>
      <xdr:col>10</xdr:col>
      <xdr:colOff>838200</xdr:colOff>
      <xdr:row>2</xdr:row>
      <xdr:rowOff>85725</xdr:rowOff>
    </xdr:to>
    <xdr:pic>
      <xdr:nvPicPr>
        <xdr:cNvPr id="1" name="Picture 1" descr="Logo-SC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619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13</xdr:row>
      <xdr:rowOff>142875</xdr:rowOff>
    </xdr:from>
    <xdr:to>
      <xdr:col>17</xdr:col>
      <xdr:colOff>523875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171825" y="2390775"/>
        <a:ext cx="7229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304800</xdr:colOff>
      <xdr:row>1</xdr:row>
      <xdr:rowOff>85725</xdr:rowOff>
    </xdr:from>
    <xdr:to>
      <xdr:col>18</xdr:col>
      <xdr:colOff>9525</xdr:colOff>
      <xdr:row>2</xdr:row>
      <xdr:rowOff>104775</xdr:rowOff>
    </xdr:to>
    <xdr:pic>
      <xdr:nvPicPr>
        <xdr:cNvPr id="2" name="Picture 2" descr="Logo-SCA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809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13</xdr:row>
      <xdr:rowOff>142875</xdr:rowOff>
    </xdr:from>
    <xdr:to>
      <xdr:col>17</xdr:col>
      <xdr:colOff>523875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171825" y="2390775"/>
        <a:ext cx="7229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304800</xdr:colOff>
      <xdr:row>1</xdr:row>
      <xdr:rowOff>85725</xdr:rowOff>
    </xdr:from>
    <xdr:to>
      <xdr:col>18</xdr:col>
      <xdr:colOff>9525</xdr:colOff>
      <xdr:row>2</xdr:row>
      <xdr:rowOff>104775</xdr:rowOff>
    </xdr:to>
    <xdr:pic>
      <xdr:nvPicPr>
        <xdr:cNvPr id="2" name="Picture 2" descr="Logo-SCA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809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1"/>
  <sheetViews>
    <sheetView zoomScale="90" zoomScaleNormal="90" zoomScalePageLayoutView="0" workbookViewId="0" topLeftCell="A17">
      <selection activeCell="I11" sqref="I11"/>
    </sheetView>
  </sheetViews>
  <sheetFormatPr defaultColWidth="9.140625" defaultRowHeight="12.75"/>
  <cols>
    <col min="1" max="2" width="1.7109375" style="1" customWidth="1"/>
    <col min="3" max="3" width="3.7109375" style="1" customWidth="1"/>
    <col min="4" max="4" width="8.7109375" style="1" customWidth="1"/>
    <col min="5" max="5" width="9.7109375" style="1" customWidth="1"/>
    <col min="6" max="8" width="8.7109375" style="1" customWidth="1"/>
    <col min="9" max="18" width="10.7109375" style="1" customWidth="1"/>
    <col min="19" max="19" width="1.7109375" style="1" customWidth="1"/>
    <col min="20" max="25" width="9.140625" style="1" customWidth="1"/>
    <col min="26" max="26" width="9.28125" style="1" bestFit="1" customWidth="1"/>
    <col min="27" max="28" width="9.140625" style="1" customWidth="1"/>
    <col min="29" max="29" width="13.57421875" style="1" bestFit="1" customWidth="1"/>
    <col min="30" max="16384" width="9.140625" style="1" customWidth="1"/>
  </cols>
  <sheetData>
    <row r="1" ht="7.5" customHeight="1" thickBot="1"/>
    <row r="2" spans="2:19" ht="24.75" customHeight="1" thickTop="1">
      <c r="B2" s="3"/>
      <c r="C2" s="4" t="s">
        <v>66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8"/>
    </row>
    <row r="3" spans="2:19" ht="12.75" customHeight="1">
      <c r="B3" s="12"/>
      <c r="C3" s="13"/>
      <c r="D3" s="13"/>
      <c r="E3" s="13"/>
      <c r="F3" s="132" t="s">
        <v>6</v>
      </c>
      <c r="G3" s="132"/>
      <c r="H3" s="132"/>
      <c r="I3" s="132"/>
      <c r="J3" s="132"/>
      <c r="K3" s="132"/>
      <c r="L3" s="132"/>
      <c r="M3" s="132"/>
      <c r="N3" s="132"/>
      <c r="O3" s="132"/>
      <c r="P3" s="14"/>
      <c r="Q3" s="13"/>
      <c r="R3" s="13"/>
      <c r="S3" s="15"/>
    </row>
    <row r="4" spans="2:19" ht="12.75" customHeight="1">
      <c r="B4" s="12"/>
      <c r="C4" s="13"/>
      <c r="D4" s="13"/>
      <c r="E4" s="13"/>
      <c r="F4" s="132" t="s">
        <v>48</v>
      </c>
      <c r="G4" s="132"/>
      <c r="H4" s="132"/>
      <c r="I4" s="132"/>
      <c r="J4" s="132"/>
      <c r="K4" s="132"/>
      <c r="L4" s="132"/>
      <c r="M4" s="132"/>
      <c r="N4" s="132"/>
      <c r="O4" s="132"/>
      <c r="P4" s="14"/>
      <c r="Q4" s="13"/>
      <c r="R4" s="13"/>
      <c r="S4" s="15"/>
    </row>
    <row r="5" spans="2:19" ht="12.75" customHeight="1">
      <c r="B5" s="12"/>
      <c r="C5" s="13"/>
      <c r="D5" s="13"/>
      <c r="E5" s="13"/>
      <c r="F5" s="90"/>
      <c r="G5" s="90"/>
      <c r="H5" s="90"/>
      <c r="I5" s="90"/>
      <c r="J5" s="90"/>
      <c r="K5" s="90"/>
      <c r="L5" s="90"/>
      <c r="M5" s="90"/>
      <c r="N5" s="90"/>
      <c r="O5" s="90"/>
      <c r="P5" s="14"/>
      <c r="Q5" s="13"/>
      <c r="R5" s="13"/>
      <c r="S5" s="15"/>
    </row>
    <row r="6" spans="2:19" ht="12.75" customHeight="1">
      <c r="B6" s="12"/>
      <c r="C6" s="13"/>
      <c r="D6" s="91"/>
      <c r="E6" s="92" t="s">
        <v>60</v>
      </c>
      <c r="F6" s="133"/>
      <c r="G6" s="134"/>
      <c r="H6" s="134"/>
      <c r="I6" s="134"/>
      <c r="J6" s="134"/>
      <c r="K6" s="134"/>
      <c r="L6" s="134"/>
      <c r="M6" s="134"/>
      <c r="N6" s="134"/>
      <c r="O6" s="135"/>
      <c r="P6" s="13"/>
      <c r="Q6" s="13"/>
      <c r="R6" s="13"/>
      <c r="S6" s="15"/>
    </row>
    <row r="7" spans="2:19" ht="12.75" customHeight="1">
      <c r="B7" s="12"/>
      <c r="C7" s="13"/>
      <c r="D7" s="13"/>
      <c r="E7" s="13"/>
      <c r="F7" s="136"/>
      <c r="G7" s="137"/>
      <c r="H7" s="137"/>
      <c r="I7" s="137"/>
      <c r="J7" s="137"/>
      <c r="K7" s="137"/>
      <c r="L7" s="137"/>
      <c r="M7" s="137"/>
      <c r="N7" s="137"/>
      <c r="O7" s="138"/>
      <c r="P7" s="13"/>
      <c r="Q7" s="13"/>
      <c r="R7" s="13"/>
      <c r="S7" s="15"/>
    </row>
    <row r="8" spans="2:19" ht="12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2:19" ht="12.75">
      <c r="B9" s="12"/>
      <c r="C9" s="13"/>
      <c r="D9" s="93" t="s">
        <v>49</v>
      </c>
      <c r="E9" s="13"/>
      <c r="F9" s="13"/>
      <c r="G9" s="13"/>
      <c r="H9" s="13"/>
      <c r="I9" s="94">
        <v>1.7644171740697872</v>
      </c>
      <c r="J9" s="13"/>
      <c r="K9" s="139" t="s">
        <v>52</v>
      </c>
      <c r="L9" s="139"/>
      <c r="M9" s="139"/>
      <c r="N9" s="139"/>
      <c r="O9" s="139"/>
      <c r="P9" s="139"/>
      <c r="Q9" s="13"/>
      <c r="R9" s="13"/>
      <c r="S9" s="15"/>
    </row>
    <row r="10" spans="2:19" ht="15">
      <c r="B10" s="12"/>
      <c r="C10" s="13"/>
      <c r="D10" s="93" t="s">
        <v>62</v>
      </c>
      <c r="E10" s="13"/>
      <c r="F10" s="13"/>
      <c r="G10" s="13"/>
      <c r="H10" s="13"/>
      <c r="I10" s="95">
        <v>638.549996295639</v>
      </c>
      <c r="J10" s="13"/>
      <c r="K10" s="96" t="s">
        <v>63</v>
      </c>
      <c r="L10" s="97"/>
      <c r="M10" s="97"/>
      <c r="N10" s="97"/>
      <c r="O10" s="97"/>
      <c r="P10" s="97"/>
      <c r="Q10" s="98"/>
      <c r="R10" s="13"/>
      <c r="S10" s="15"/>
    </row>
    <row r="11" spans="2:19" ht="15">
      <c r="B11" s="12"/>
      <c r="C11" s="13"/>
      <c r="D11" s="93" t="s">
        <v>50</v>
      </c>
      <c r="E11" s="13"/>
      <c r="F11" s="13"/>
      <c r="G11" s="13"/>
      <c r="H11" s="13"/>
      <c r="I11" s="94">
        <v>1.377984878344448</v>
      </c>
      <c r="J11" s="13"/>
      <c r="K11" s="99" t="s">
        <v>65</v>
      </c>
      <c r="L11" s="100"/>
      <c r="M11" s="100"/>
      <c r="N11" s="100"/>
      <c r="O11" s="100"/>
      <c r="P11" s="100"/>
      <c r="Q11" s="101"/>
      <c r="R11" s="13"/>
      <c r="S11" s="15"/>
    </row>
    <row r="12" spans="2:19" ht="12.75">
      <c r="B12" s="12"/>
      <c r="C12" s="13"/>
      <c r="D12" s="93" t="s">
        <v>51</v>
      </c>
      <c r="E12" s="13"/>
      <c r="F12" s="13"/>
      <c r="G12" s="13"/>
      <c r="H12" s="13"/>
      <c r="I12" s="94">
        <v>1.3779842390002321</v>
      </c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2:19" ht="12.75">
      <c r="B13" s="12"/>
      <c r="C13" s="13"/>
      <c r="D13" s="93"/>
      <c r="E13" s="13"/>
      <c r="F13" s="13"/>
      <c r="G13" s="13"/>
      <c r="H13" s="13"/>
      <c r="I13" s="13"/>
      <c r="J13" s="13"/>
      <c r="K13" s="140" t="s">
        <v>67</v>
      </c>
      <c r="L13" s="141"/>
      <c r="M13" s="141"/>
      <c r="N13" s="141"/>
      <c r="O13" s="141"/>
      <c r="P13" s="141"/>
      <c r="Q13" s="142"/>
      <c r="R13" s="13"/>
      <c r="S13" s="15"/>
    </row>
    <row r="14" spans="2:29" ht="13.5" thickBot="1">
      <c r="B14" s="12"/>
      <c r="C14" s="13"/>
      <c r="D14" s="9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  <c r="Z14" s="102"/>
      <c r="AA14" s="102"/>
      <c r="AB14" s="102"/>
      <c r="AC14" s="102"/>
    </row>
    <row r="15" spans="2:29" ht="12.75">
      <c r="B15" s="12"/>
      <c r="C15" s="103"/>
      <c r="D15" s="104" t="s">
        <v>1</v>
      </c>
      <c r="E15" s="104" t="s">
        <v>1</v>
      </c>
      <c r="F15" s="130" t="s">
        <v>55</v>
      </c>
      <c r="G15" s="131"/>
      <c r="H15" s="10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Z15" s="102"/>
      <c r="AA15" s="102"/>
      <c r="AB15" s="102"/>
      <c r="AC15" s="102"/>
    </row>
    <row r="16" spans="2:29" ht="13.5" thickBot="1">
      <c r="B16" s="12"/>
      <c r="C16" s="106" t="s">
        <v>0</v>
      </c>
      <c r="D16" s="107" t="s">
        <v>3</v>
      </c>
      <c r="E16" s="107" t="s">
        <v>2</v>
      </c>
      <c r="F16" s="108" t="s">
        <v>53</v>
      </c>
      <c r="G16" s="109" t="s">
        <v>54</v>
      </c>
      <c r="H16" s="10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  <c r="Z16" s="102" t="s">
        <v>4</v>
      </c>
      <c r="AA16" s="102"/>
      <c r="AB16" s="102"/>
      <c r="AC16" s="110" t="s">
        <v>61</v>
      </c>
    </row>
    <row r="17" spans="2:29" ht="13.5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Z17" s="102"/>
      <c r="AA17" s="102"/>
      <c r="AB17" s="102"/>
      <c r="AC17" s="102"/>
    </row>
    <row r="18" spans="2:29" ht="12.75">
      <c r="B18" s="12"/>
      <c r="C18" s="111">
        <v>1</v>
      </c>
      <c r="D18" t="s">
        <v>64</v>
      </c>
      <c r="E18">
        <v>101600</v>
      </c>
      <c r="F18" s="120">
        <v>100</v>
      </c>
      <c r="G18" s="121">
        <v>100</v>
      </c>
      <c r="H18" s="10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Z18" s="102">
        <f aca="true" t="shared" si="0" ref="Z18:Z42">IF(G18&gt;50,IF(G19&lt;50,$E19*EXP(LN(50/G19)*LN($E18/$E19)/LN(G18/G19)),0),0)</f>
        <v>0</v>
      </c>
      <c r="AA18" s="102"/>
      <c r="AB18" s="102"/>
      <c r="AC18" s="102">
        <f>((F18-G18)/F18)^2</f>
        <v>0</v>
      </c>
    </row>
    <row r="19" spans="2:29" ht="12.75">
      <c r="B19" s="12"/>
      <c r="C19" s="112">
        <f aca="true" t="shared" si="1" ref="C19:C42">C18+1</f>
        <v>2</v>
      </c>
      <c r="D19" t="s">
        <v>69</v>
      </c>
      <c r="E19">
        <v>76200</v>
      </c>
      <c r="F19" s="129">
        <v>100</v>
      </c>
      <c r="G19" s="122">
        <f aca="true" t="shared" si="2" ref="G19:G42">($I$9*(1-EXP(LN(0.2)*(E19/$I$10)^$I$11))+(1-$I$9)*(1-EXP(LN(0.2)*(E19/$I$10)^$I$12)))*100</f>
        <v>100</v>
      </c>
      <c r="H19" s="10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Z19" s="102">
        <f t="shared" si="0"/>
        <v>0</v>
      </c>
      <c r="AA19" s="102"/>
      <c r="AB19" s="102"/>
      <c r="AC19" s="102">
        <f>IF(F19&gt;0,((F19-G19)/F19)^2,0)</f>
        <v>0</v>
      </c>
    </row>
    <row r="20" spans="2:29" ht="12.75">
      <c r="B20" s="12"/>
      <c r="C20" s="112">
        <f t="shared" si="1"/>
        <v>3</v>
      </c>
      <c r="D20" t="s">
        <v>68</v>
      </c>
      <c r="E20">
        <v>50800</v>
      </c>
      <c r="F20" s="129">
        <v>100</v>
      </c>
      <c r="G20" s="122">
        <f t="shared" si="2"/>
        <v>100</v>
      </c>
      <c r="H20" s="10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Z20" s="102">
        <f t="shared" si="0"/>
        <v>0</v>
      </c>
      <c r="AA20" s="102"/>
      <c r="AB20" s="102"/>
      <c r="AC20" s="102">
        <f aca="true" t="shared" si="3" ref="AC20:AC42">IF(F20&gt;0,((F20-G20)/F20)^2,0)</f>
        <v>0</v>
      </c>
    </row>
    <row r="21" spans="2:29" ht="12.75">
      <c r="B21" s="12"/>
      <c r="C21" s="112">
        <f t="shared" si="1"/>
        <v>4</v>
      </c>
      <c r="D21" t="s">
        <v>75</v>
      </c>
      <c r="E21">
        <v>38000</v>
      </c>
      <c r="F21" s="129">
        <v>100</v>
      </c>
      <c r="G21" s="122">
        <f t="shared" si="2"/>
        <v>100</v>
      </c>
      <c r="H21" s="10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Z21" s="102">
        <f t="shared" si="0"/>
        <v>0</v>
      </c>
      <c r="AA21" s="102"/>
      <c r="AB21" s="102"/>
      <c r="AC21" s="102">
        <f t="shared" si="3"/>
        <v>0</v>
      </c>
    </row>
    <row r="22" spans="2:29" ht="12.75">
      <c r="B22" s="12"/>
      <c r="C22" s="112">
        <f t="shared" si="1"/>
        <v>5</v>
      </c>
      <c r="D22" t="s">
        <v>74</v>
      </c>
      <c r="E22">
        <v>25000</v>
      </c>
      <c r="F22" s="129">
        <v>100</v>
      </c>
      <c r="G22" s="122">
        <f t="shared" si="2"/>
        <v>100</v>
      </c>
      <c r="H22" s="10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Z22" s="102">
        <f t="shared" si="0"/>
        <v>0</v>
      </c>
      <c r="AA22" s="102"/>
      <c r="AB22" s="102"/>
      <c r="AC22" s="102">
        <f t="shared" si="3"/>
        <v>0</v>
      </c>
    </row>
    <row r="23" spans="2:29" ht="12.75">
      <c r="B23" s="12"/>
      <c r="C23" s="112">
        <f t="shared" si="1"/>
        <v>6</v>
      </c>
      <c r="D23" s="152" t="s">
        <v>70</v>
      </c>
      <c r="E23" s="153">
        <v>19050</v>
      </c>
      <c r="F23" s="129">
        <v>100</v>
      </c>
      <c r="G23" s="122">
        <f t="shared" si="2"/>
        <v>100</v>
      </c>
      <c r="H23" s="10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Z23" s="102">
        <f t="shared" si="0"/>
        <v>0</v>
      </c>
      <c r="AA23" s="102"/>
      <c r="AB23" s="102"/>
      <c r="AC23" s="102">
        <f t="shared" si="3"/>
        <v>0</v>
      </c>
    </row>
    <row r="24" spans="2:29" ht="12.75">
      <c r="B24" s="12"/>
      <c r="C24" s="112">
        <f t="shared" si="1"/>
        <v>7</v>
      </c>
      <c r="D24" s="152" t="s">
        <v>71</v>
      </c>
      <c r="E24" s="153">
        <v>12700</v>
      </c>
      <c r="F24" s="155">
        <v>99.15583319263887</v>
      </c>
      <c r="G24" s="128">
        <f t="shared" si="2"/>
        <v>100</v>
      </c>
      <c r="H24" s="10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Z24" s="102">
        <f t="shared" si="0"/>
        <v>0</v>
      </c>
      <c r="AA24" s="102"/>
      <c r="AB24" s="102"/>
      <c r="AC24" s="102">
        <f t="shared" si="3"/>
        <v>7.248030412967537E-05</v>
      </c>
    </row>
    <row r="25" spans="2:29" ht="12.75">
      <c r="B25" s="12"/>
      <c r="C25" s="112">
        <f t="shared" si="1"/>
        <v>8</v>
      </c>
      <c r="D25" s="152" t="s">
        <v>73</v>
      </c>
      <c r="E25" s="153">
        <v>9500</v>
      </c>
      <c r="F25" s="155">
        <v>98.57757892959648</v>
      </c>
      <c r="G25" s="128">
        <f t="shared" si="2"/>
        <v>100</v>
      </c>
      <c r="H25" s="10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Z25" s="102">
        <f t="shared" si="0"/>
        <v>0</v>
      </c>
      <c r="AA25" s="102"/>
      <c r="AB25" s="102"/>
      <c r="AC25" s="102">
        <f t="shared" si="3"/>
        <v>0.00020820926856569355</v>
      </c>
    </row>
    <row r="26" spans="2:29" ht="12.75">
      <c r="B26" s="12"/>
      <c r="C26" s="112">
        <f t="shared" si="1"/>
        <v>9</v>
      </c>
      <c r="D26" s="152" t="s">
        <v>72</v>
      </c>
      <c r="E26" s="153">
        <v>6350</v>
      </c>
      <c r="F26" s="155">
        <v>97.7671787945298</v>
      </c>
      <c r="G26" s="128">
        <f t="shared" si="2"/>
        <v>100</v>
      </c>
      <c r="H26" s="10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Z26" s="102">
        <f t="shared" si="0"/>
        <v>0</v>
      </c>
      <c r="AA26" s="102"/>
      <c r="AB26" s="102"/>
      <c r="AC26" s="102">
        <f t="shared" si="3"/>
        <v>0.0005215809604424663</v>
      </c>
    </row>
    <row r="27" spans="2:29" ht="12.75">
      <c r="B27" s="12"/>
      <c r="C27" s="112">
        <f t="shared" si="1"/>
        <v>10</v>
      </c>
      <c r="D27" s="153">
        <v>4</v>
      </c>
      <c r="E27" s="153">
        <v>4750</v>
      </c>
      <c r="F27" s="155">
        <v>97.07496201249367</v>
      </c>
      <c r="G27" s="128">
        <f t="shared" si="2"/>
        <v>99.9999999992079</v>
      </c>
      <c r="H27" s="10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Z27" s="102">
        <f t="shared" si="0"/>
        <v>0</v>
      </c>
      <c r="AA27" s="102"/>
      <c r="AB27" s="102"/>
      <c r="AC27" s="102">
        <f t="shared" si="3"/>
        <v>0.0009079220477243291</v>
      </c>
    </row>
    <row r="28" spans="2:29" ht="12.75">
      <c r="B28" s="12"/>
      <c r="C28" s="112">
        <f t="shared" si="1"/>
        <v>11</v>
      </c>
      <c r="D28" s="153">
        <v>6</v>
      </c>
      <c r="E28" s="153">
        <v>3350</v>
      </c>
      <c r="F28" s="155">
        <v>95.79604929934155</v>
      </c>
      <c r="G28" s="128">
        <f t="shared" si="2"/>
        <v>99.99998623479144</v>
      </c>
      <c r="H28" s="10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Z28" s="102">
        <f t="shared" si="0"/>
        <v>0</v>
      </c>
      <c r="AA28" s="102"/>
      <c r="AB28" s="102"/>
      <c r="AC28" s="102">
        <f t="shared" si="3"/>
        <v>0.0019258266275234703</v>
      </c>
    </row>
    <row r="29" spans="2:29" ht="12.75">
      <c r="B29" s="12"/>
      <c r="C29" s="112">
        <f t="shared" si="1"/>
        <v>12</v>
      </c>
      <c r="D29" s="153">
        <v>8</v>
      </c>
      <c r="E29" s="153">
        <v>2360</v>
      </c>
      <c r="F29" s="155">
        <v>93.94732399122067</v>
      </c>
      <c r="G29" s="128">
        <f t="shared" si="2"/>
        <v>99.99416732161866</v>
      </c>
      <c r="H29" s="10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  <c r="Z29" s="102">
        <f t="shared" si="0"/>
        <v>0</v>
      </c>
      <c r="AA29" s="102"/>
      <c r="AB29" s="102"/>
      <c r="AC29" s="102">
        <f t="shared" si="3"/>
        <v>0.004142748843417036</v>
      </c>
    </row>
    <row r="30" spans="2:29" ht="12.75">
      <c r="B30" s="12"/>
      <c r="C30" s="112">
        <f t="shared" si="1"/>
        <v>13</v>
      </c>
      <c r="D30" s="153">
        <v>10</v>
      </c>
      <c r="E30" s="153">
        <v>1700</v>
      </c>
      <c r="F30" s="155">
        <v>91.79047779841297</v>
      </c>
      <c r="G30" s="128">
        <f t="shared" si="2"/>
        <v>99.7978562525925</v>
      </c>
      <c r="H30" s="10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Z30" s="102">
        <f t="shared" si="0"/>
        <v>0</v>
      </c>
      <c r="AA30" s="102"/>
      <c r="AB30" s="102"/>
      <c r="AC30" s="102">
        <f t="shared" si="3"/>
        <v>0.007610013886478483</v>
      </c>
    </row>
    <row r="31" spans="2:29" ht="12.75">
      <c r="B31" s="12"/>
      <c r="C31" s="112">
        <f t="shared" si="1"/>
        <v>14</v>
      </c>
      <c r="D31" s="153">
        <v>14</v>
      </c>
      <c r="E31" s="153">
        <v>1180</v>
      </c>
      <c r="F31" s="155">
        <v>88.26186054364342</v>
      </c>
      <c r="G31" s="128">
        <f t="shared" si="2"/>
        <v>97.65094298372696</v>
      </c>
      <c r="H31" s="10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  <c r="Z31" s="102">
        <f t="shared" si="0"/>
        <v>0</v>
      </c>
      <c r="AA31" s="102"/>
      <c r="AB31" s="102"/>
      <c r="AC31" s="102">
        <f t="shared" si="3"/>
        <v>0.011316187861370846</v>
      </c>
    </row>
    <row r="32" spans="2:29" ht="12.75">
      <c r="B32" s="12"/>
      <c r="C32" s="112">
        <f t="shared" si="1"/>
        <v>15</v>
      </c>
      <c r="D32" s="153">
        <v>20</v>
      </c>
      <c r="E32" s="153">
        <v>850</v>
      </c>
      <c r="F32" s="155">
        <v>83.7793347965558</v>
      </c>
      <c r="G32" s="128">
        <f t="shared" si="2"/>
        <v>90.80953623147036</v>
      </c>
      <c r="H32" s="10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Z32" s="102">
        <f t="shared" si="0"/>
        <v>0</v>
      </c>
      <c r="AA32" s="102"/>
      <c r="AB32" s="102"/>
      <c r="AC32" s="102">
        <f t="shared" si="3"/>
        <v>0.007041443880686748</v>
      </c>
    </row>
    <row r="33" spans="2:29" ht="12.75">
      <c r="B33" s="12"/>
      <c r="C33" s="112">
        <f t="shared" si="1"/>
        <v>16</v>
      </c>
      <c r="D33" s="153">
        <v>28</v>
      </c>
      <c r="E33" s="153">
        <v>600</v>
      </c>
      <c r="F33" s="155">
        <v>76.96690866115145</v>
      </c>
      <c r="G33" s="128">
        <f t="shared" si="2"/>
        <v>77.17000912162906</v>
      </c>
      <c r="H33" s="10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5"/>
      <c r="Z33" s="102">
        <f t="shared" si="0"/>
        <v>0</v>
      </c>
      <c r="AA33" s="102"/>
      <c r="AB33" s="102"/>
      <c r="AC33" s="102">
        <f t="shared" si="3"/>
        <v>6.9632779130152065E-06</v>
      </c>
    </row>
    <row r="34" spans="2:29" ht="12.75">
      <c r="B34" s="12"/>
      <c r="C34" s="112">
        <f t="shared" si="1"/>
        <v>17</v>
      </c>
      <c r="D34" s="153">
        <v>35</v>
      </c>
      <c r="E34" s="153">
        <v>425</v>
      </c>
      <c r="F34" s="155">
        <v>64.2790815465136</v>
      </c>
      <c r="G34" s="128">
        <f t="shared" si="2"/>
        <v>60.08481390719804</v>
      </c>
      <c r="H34" s="10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5"/>
      <c r="Z34" s="102">
        <f t="shared" si="0"/>
        <v>349.33117368888816</v>
      </c>
      <c r="AA34" s="102"/>
      <c r="AB34" s="102"/>
      <c r="AC34" s="102">
        <f t="shared" si="3"/>
        <v>0.004257679376724137</v>
      </c>
    </row>
    <row r="35" spans="2:29" ht="12.75">
      <c r="B35" s="12"/>
      <c r="C35" s="112">
        <f t="shared" si="1"/>
        <v>18</v>
      </c>
      <c r="D35" s="153">
        <v>48</v>
      </c>
      <c r="E35" s="153">
        <v>300</v>
      </c>
      <c r="F35" s="155">
        <v>45.77</v>
      </c>
      <c r="G35" s="128">
        <f t="shared" si="2"/>
        <v>43.352412182843764</v>
      </c>
      <c r="H35" s="10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5"/>
      <c r="Z35" s="102">
        <f t="shared" si="0"/>
        <v>0</v>
      </c>
      <c r="AA35" s="102"/>
      <c r="AB35" s="102"/>
      <c r="AC35" s="102">
        <f t="shared" si="3"/>
        <v>0.0027899902919439304</v>
      </c>
    </row>
    <row r="36" spans="2:29" ht="12.75">
      <c r="B36" s="12"/>
      <c r="C36" s="112">
        <f t="shared" si="1"/>
        <v>19</v>
      </c>
      <c r="D36" s="153">
        <v>65</v>
      </c>
      <c r="E36" s="153">
        <v>212</v>
      </c>
      <c r="F36" s="155">
        <v>31.79132196522032</v>
      </c>
      <c r="G36" s="128">
        <f t="shared" si="2"/>
        <v>29.68742728570727</v>
      </c>
      <c r="H36" s="10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5"/>
      <c r="Z36" s="102">
        <f>IF(G36&gt;50,IF(G42&lt;50,$E42*EXP(LN(50/G42)*LN($E36/$E42)/LN(G36/G42)),0),0)</f>
        <v>0</v>
      </c>
      <c r="AA36" s="102"/>
      <c r="AB36" s="102"/>
      <c r="AC36" s="102">
        <f t="shared" si="3"/>
        <v>0.0043795633820645176</v>
      </c>
    </row>
    <row r="37" spans="2:29" ht="12.75">
      <c r="B37" s="12"/>
      <c r="C37" s="112">
        <f t="shared" si="1"/>
        <v>20</v>
      </c>
      <c r="D37" s="153">
        <v>100</v>
      </c>
      <c r="E37" s="153">
        <v>150</v>
      </c>
      <c r="F37" s="155">
        <v>19.25122404187067</v>
      </c>
      <c r="G37" s="128">
        <f t="shared" si="2"/>
        <v>19.640885378545153</v>
      </c>
      <c r="H37" s="10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5"/>
      <c r="Z37" s="102">
        <f>IF(G37&gt;50,IF(G43&lt;50,$E43*EXP(LN(50/G43)*LN($E37/$E43)/LN(G37/G43)),0),0)</f>
        <v>0</v>
      </c>
      <c r="AA37" s="102"/>
      <c r="AB37" s="102"/>
      <c r="AC37" s="102">
        <f t="shared" si="3"/>
        <v>0.0004096924261866395</v>
      </c>
    </row>
    <row r="38" spans="2:29" ht="12.75">
      <c r="B38" s="12"/>
      <c r="C38" s="112">
        <f t="shared" si="1"/>
        <v>21</v>
      </c>
      <c r="D38" s="153">
        <v>150</v>
      </c>
      <c r="E38" s="153">
        <v>106</v>
      </c>
      <c r="F38" s="155">
        <v>11.742360290393378</v>
      </c>
      <c r="G38" s="128">
        <f t="shared" si="2"/>
        <v>12.673698017570068</v>
      </c>
      <c r="H38" s="10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5"/>
      <c r="Z38" s="102">
        <f>IF(G38&gt;50,IF(G44&lt;50,$E44*EXP(LN(50/G44)*LN($E38/$E44)/LN(G38/G44)),0),0)</f>
        <v>0</v>
      </c>
      <c r="AA38" s="102"/>
      <c r="AB38" s="102"/>
      <c r="AC38" s="102">
        <f t="shared" si="3"/>
        <v>0.006290766835664688</v>
      </c>
    </row>
    <row r="39" spans="2:29" ht="12.75">
      <c r="B39" s="12"/>
      <c r="C39" s="112">
        <f t="shared" si="1"/>
        <v>22</v>
      </c>
      <c r="D39" s="153">
        <v>200</v>
      </c>
      <c r="E39" s="153">
        <v>75</v>
      </c>
      <c r="F39" s="155">
        <v>7.631267938544653</v>
      </c>
      <c r="G39" s="128">
        <f t="shared" si="2"/>
        <v>8.069053970890568</v>
      </c>
      <c r="H39" s="10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5"/>
      <c r="Z39" s="102">
        <f>IF(G39&gt;50,IF(G45&lt;50,$E45*EXP(LN(50/G45)*LN($E39/$E45)/LN(G39/G45)),0),0)</f>
        <v>0</v>
      </c>
      <c r="AA39" s="102"/>
      <c r="AB39" s="102"/>
      <c r="AC39" s="102">
        <f t="shared" si="3"/>
        <v>0.0032910190639985283</v>
      </c>
    </row>
    <row r="40" spans="2:29" ht="12.75">
      <c r="B40" s="12"/>
      <c r="C40" s="112">
        <f t="shared" si="1"/>
        <v>23</v>
      </c>
      <c r="D40" s="153">
        <v>270</v>
      </c>
      <c r="E40" s="153">
        <v>53</v>
      </c>
      <c r="F40" s="155">
        <v>5.0650008441668035</v>
      </c>
      <c r="G40" s="128">
        <f t="shared" si="2"/>
        <v>5.080546401565308</v>
      </c>
      <c r="H40" s="10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  <c r="Z40" s="102">
        <f>IF(G40&gt;50,IF(G46&lt;50,$E46*EXP(LN(50/G46)*LN($E40/$E46)/LN(G40/G46)),0),0)</f>
        <v>0</v>
      </c>
      <c r="AA40" s="102"/>
      <c r="AB40" s="102"/>
      <c r="AC40" s="102">
        <f t="shared" si="3"/>
        <v>9.420057486648825E-06</v>
      </c>
    </row>
    <row r="41" spans="2:29" ht="12.75">
      <c r="B41" s="12"/>
      <c r="C41" s="112">
        <f t="shared" si="1"/>
        <v>24</v>
      </c>
      <c r="D41" s="153">
        <v>325</v>
      </c>
      <c r="E41" s="153">
        <v>44</v>
      </c>
      <c r="F41" s="155">
        <v>4.136417356069558</v>
      </c>
      <c r="G41" s="128">
        <f t="shared" si="2"/>
        <v>3.9543824280335955</v>
      </c>
      <c r="H41" s="10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5"/>
      <c r="Z41" s="102">
        <f>IF(G41&gt;50,IF(G47&lt;50,$E47*EXP(LN(50/G47)*LN($E41/$E47)/LN(G41/G47)),0),0)</f>
        <v>0</v>
      </c>
      <c r="AA41" s="102"/>
      <c r="AB41" s="102"/>
      <c r="AC41" s="102">
        <f t="shared" si="3"/>
        <v>0.0019366928509826162</v>
      </c>
    </row>
    <row r="42" spans="2:29" ht="12.75">
      <c r="B42" s="12"/>
      <c r="C42" s="112">
        <f t="shared" si="1"/>
        <v>25</v>
      </c>
      <c r="D42" s="153">
        <v>400</v>
      </c>
      <c r="E42" s="154">
        <v>37</v>
      </c>
      <c r="F42" s="155">
        <v>3.22</v>
      </c>
      <c r="G42" s="128">
        <f t="shared" si="2"/>
        <v>3.1277617368062747</v>
      </c>
      <c r="H42" s="10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5"/>
      <c r="Z42" s="102">
        <f t="shared" si="0"/>
        <v>0</v>
      </c>
      <c r="AA42" s="102"/>
      <c r="AB42" s="102"/>
      <c r="AC42" s="102">
        <f t="shared" si="3"/>
        <v>0.0008205602790203869</v>
      </c>
    </row>
    <row r="43" spans="2:29" ht="13.5" thickBot="1">
      <c r="B43" s="12"/>
      <c r="C43" s="113">
        <v>26</v>
      </c>
      <c r="D43" s="124">
        <f>-D42</f>
        <v>-400</v>
      </c>
      <c r="E43" s="125">
        <v>0</v>
      </c>
      <c r="F43"/>
      <c r="G43" s="123"/>
      <c r="H43" s="10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  <c r="Z43" s="102"/>
      <c r="AA43" s="102"/>
      <c r="AB43" s="102"/>
      <c r="AC43" s="102"/>
    </row>
    <row r="44" spans="2:29" ht="13.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5"/>
      <c r="Z44" s="102">
        <f>SUM(Z18:Z42)</f>
        <v>349.33117368888816</v>
      </c>
      <c r="AA44" s="102"/>
      <c r="AB44" s="102"/>
      <c r="AC44" s="102">
        <f>SUM(AC18:AC42)/25</f>
        <v>0.0023175504608929543</v>
      </c>
    </row>
    <row r="45" spans="2:29" ht="15" thickBot="1">
      <c r="B45" s="12"/>
      <c r="C45" s="93" t="s">
        <v>56</v>
      </c>
      <c r="D45" s="93"/>
      <c r="E45" s="13"/>
      <c r="F45" s="13"/>
      <c r="G45" s="114">
        <f>100*AC44^0.5</f>
        <v>4.814094370588257</v>
      </c>
      <c r="H45" s="13"/>
      <c r="I45" s="115" t="s">
        <v>57</v>
      </c>
      <c r="J45" s="126">
        <f>I10</f>
        <v>638.549996295639</v>
      </c>
      <c r="K45" s="116" t="s">
        <v>5</v>
      </c>
      <c r="L45" s="115" t="s">
        <v>58</v>
      </c>
      <c r="M45" s="126">
        <f>Z44</f>
        <v>349.33117368888816</v>
      </c>
      <c r="N45" s="116" t="s">
        <v>5</v>
      </c>
      <c r="O45" s="115" t="s">
        <v>59</v>
      </c>
      <c r="P45" s="127">
        <f>J45/M45</f>
        <v>1.8279215952949193</v>
      </c>
      <c r="Q45" s="13"/>
      <c r="R45" s="13"/>
      <c r="S45" s="15"/>
      <c r="Z45" s="102"/>
      <c r="AA45" s="102"/>
      <c r="AB45" s="102"/>
      <c r="AC45" s="102"/>
    </row>
    <row r="46" spans="2:19" ht="7.5" customHeight="1" thickBot="1">
      <c r="B46" s="8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88"/>
    </row>
    <row r="47" ht="13.5" thickTop="1"/>
    <row r="50" spans="3:6" ht="12.75">
      <c r="C50" s="118">
        <v>10</v>
      </c>
      <c r="D50" s="119">
        <f>J45</f>
        <v>638.549996295639</v>
      </c>
      <c r="E50" s="119">
        <f>J45</f>
        <v>638.549996295639</v>
      </c>
      <c r="F50" s="119">
        <f>E50</f>
        <v>638.549996295639</v>
      </c>
    </row>
    <row r="51" spans="3:6" ht="12.75">
      <c r="C51" s="118">
        <v>80</v>
      </c>
      <c r="D51" s="118">
        <v>80</v>
      </c>
      <c r="E51" s="118">
        <v>1</v>
      </c>
      <c r="F51" s="118">
        <v>80</v>
      </c>
    </row>
  </sheetData>
  <sheetProtection insertColumns="0" insertRows="0"/>
  <mergeCells count="7">
    <mergeCell ref="F15:G15"/>
    <mergeCell ref="F3:O3"/>
    <mergeCell ref="F4:O4"/>
    <mergeCell ref="F6:O6"/>
    <mergeCell ref="F7:O7"/>
    <mergeCell ref="K9:P9"/>
    <mergeCell ref="K13:Q13"/>
  </mergeCells>
  <printOptions horizontalCentered="1" verticalCentered="1"/>
  <pageMargins left="0.25" right="0.25" top="1" bottom="1.5" header="0" footer="0.5"/>
  <pageSetup fitToHeight="1" fitToWidth="1" horizontalDpi="300" verticalDpi="300" orientation="landscape" pageOrder="overThenDown" scale="71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.7109375" style="1" customWidth="1"/>
    <col min="3" max="3" width="8.7109375" style="1" customWidth="1"/>
    <col min="4" max="4" width="10.7109375" style="2" customWidth="1"/>
    <col min="5" max="6" width="10.7109375" style="1" customWidth="1"/>
    <col min="7" max="7" width="8.7109375" style="2" customWidth="1"/>
    <col min="8" max="11" width="12.7109375" style="1" customWidth="1"/>
    <col min="12" max="13" width="1.7109375" style="1" customWidth="1"/>
    <col min="14" max="16384" width="11.421875" style="1" customWidth="1"/>
  </cols>
  <sheetData>
    <row r="1" ht="7.5" customHeight="1" thickBot="1"/>
    <row r="2" spans="2:12" ht="24.75" customHeight="1" thickTop="1">
      <c r="B2" s="3"/>
      <c r="C2" s="4" t="s">
        <v>66</v>
      </c>
      <c r="D2" s="5"/>
      <c r="E2" s="6"/>
      <c r="F2" s="6"/>
      <c r="G2" s="5"/>
      <c r="H2" s="6"/>
      <c r="I2" s="6"/>
      <c r="J2" s="6"/>
      <c r="K2" s="7"/>
      <c r="L2" s="8"/>
    </row>
    <row r="3" spans="2:12" s="11" customFormat="1" ht="18">
      <c r="B3" s="9"/>
      <c r="C3" s="147" t="s">
        <v>36</v>
      </c>
      <c r="D3" s="147"/>
      <c r="E3" s="147"/>
      <c r="F3" s="147"/>
      <c r="G3" s="147"/>
      <c r="H3" s="147"/>
      <c r="I3" s="147"/>
      <c r="J3" s="147"/>
      <c r="K3" s="147"/>
      <c r="L3" s="10"/>
    </row>
    <row r="4" spans="2:12" ht="13.5" thickBot="1">
      <c r="B4" s="12"/>
      <c r="C4" s="13"/>
      <c r="D4" s="14"/>
      <c r="E4" s="13"/>
      <c r="F4" s="13"/>
      <c r="G4" s="14"/>
      <c r="H4" s="13"/>
      <c r="I4" s="13"/>
      <c r="J4" s="13"/>
      <c r="K4" s="13"/>
      <c r="L4" s="15"/>
    </row>
    <row r="5" spans="2:12" ht="12.75">
      <c r="B5" s="12"/>
      <c r="C5" s="16" t="s">
        <v>7</v>
      </c>
      <c r="D5" s="17"/>
      <c r="E5" s="17"/>
      <c r="F5" s="18"/>
      <c r="G5" s="16" t="s">
        <v>8</v>
      </c>
      <c r="H5" s="17"/>
      <c r="I5" s="17"/>
      <c r="J5" s="143" t="s">
        <v>37</v>
      </c>
      <c r="K5" s="144"/>
      <c r="L5" s="15"/>
    </row>
    <row r="6" spans="2:12" ht="13.5" thickBot="1">
      <c r="B6" s="12"/>
      <c r="C6" s="19" t="s">
        <v>9</v>
      </c>
      <c r="D6" s="20"/>
      <c r="E6" s="20"/>
      <c r="F6" s="21"/>
      <c r="G6" s="19" t="s">
        <v>10</v>
      </c>
      <c r="H6" s="20"/>
      <c r="I6" s="20"/>
      <c r="J6" s="145" t="s">
        <v>11</v>
      </c>
      <c r="K6" s="146"/>
      <c r="L6" s="15"/>
    </row>
    <row r="7" spans="2:12" ht="12.75">
      <c r="B7" s="12"/>
      <c r="C7" s="150" t="s">
        <v>12</v>
      </c>
      <c r="D7" s="151"/>
      <c r="E7" s="148" t="s">
        <v>38</v>
      </c>
      <c r="F7" s="149"/>
      <c r="G7" s="22"/>
      <c r="H7" s="148" t="s">
        <v>38</v>
      </c>
      <c r="I7" s="149"/>
      <c r="J7" s="23" t="s">
        <v>38</v>
      </c>
      <c r="K7" s="24" t="s">
        <v>43</v>
      </c>
      <c r="L7" s="15"/>
    </row>
    <row r="8" spans="2:12" ht="13.5" thickBot="1">
      <c r="B8" s="12"/>
      <c r="C8" s="25" t="s">
        <v>39</v>
      </c>
      <c r="D8" s="26" t="s">
        <v>40</v>
      </c>
      <c r="E8" s="26" t="s">
        <v>41</v>
      </c>
      <c r="F8" s="27" t="s">
        <v>13</v>
      </c>
      <c r="G8" s="28"/>
      <c r="H8" s="26" t="s">
        <v>41</v>
      </c>
      <c r="I8" s="29" t="s">
        <v>13</v>
      </c>
      <c r="J8" s="25" t="s">
        <v>13</v>
      </c>
      <c r="K8" s="27" t="s">
        <v>13</v>
      </c>
      <c r="L8" s="15"/>
    </row>
    <row r="9" spans="2:12" ht="12.75">
      <c r="B9" s="12"/>
      <c r="C9" s="30"/>
      <c r="D9" s="31"/>
      <c r="E9" s="32"/>
      <c r="F9" s="33"/>
      <c r="G9" s="34" t="s">
        <v>42</v>
      </c>
      <c r="H9" s="32"/>
      <c r="I9" s="35"/>
      <c r="J9" s="36"/>
      <c r="K9" s="37"/>
      <c r="L9" s="15"/>
    </row>
    <row r="10" spans="2:12" ht="12.75">
      <c r="B10" s="12"/>
      <c r="C10" s="38"/>
      <c r="D10" s="39"/>
      <c r="E10" s="40"/>
      <c r="F10" s="41"/>
      <c r="G10" s="42">
        <v>5</v>
      </c>
      <c r="H10" s="43">
        <v>5</v>
      </c>
      <c r="I10" s="44">
        <f aca="true" t="shared" si="0" ref="I10:I32">H10*25.4</f>
        <v>127</v>
      </c>
      <c r="J10" s="45">
        <f>(J12)*2^0.25</f>
        <v>127.99999999999994</v>
      </c>
      <c r="K10" s="46">
        <v>8</v>
      </c>
      <c r="L10" s="15"/>
    </row>
    <row r="11" spans="2:12" ht="12.75">
      <c r="B11" s="12"/>
      <c r="C11" s="38"/>
      <c r="D11" s="39"/>
      <c r="E11" s="40"/>
      <c r="F11" s="41"/>
      <c r="G11" s="47" t="s">
        <v>14</v>
      </c>
      <c r="H11" s="48">
        <f>4+1/4</f>
        <v>4.25</v>
      </c>
      <c r="I11" s="49">
        <f t="shared" si="0"/>
        <v>107.94999999999999</v>
      </c>
      <c r="J11" s="50"/>
      <c r="K11" s="46">
        <v>6.4</v>
      </c>
      <c r="L11" s="15"/>
    </row>
    <row r="12" spans="2:12" ht="12.75">
      <c r="B12" s="12"/>
      <c r="C12" s="38"/>
      <c r="D12" s="39"/>
      <c r="E12" s="40"/>
      <c r="F12" s="41"/>
      <c r="G12" s="47" t="s">
        <v>15</v>
      </c>
      <c r="H12" s="48">
        <v>4</v>
      </c>
      <c r="I12" s="49">
        <f t="shared" si="0"/>
        <v>101.6</v>
      </c>
      <c r="J12" s="45">
        <f>(J13)*2^0.25</f>
        <v>107.63474115247541</v>
      </c>
      <c r="K12" s="46">
        <v>6.3</v>
      </c>
      <c r="L12" s="15"/>
    </row>
    <row r="13" spans="2:12" ht="12.75">
      <c r="B13" s="12"/>
      <c r="C13" s="38"/>
      <c r="D13" s="39"/>
      <c r="E13" s="40"/>
      <c r="F13" s="41"/>
      <c r="G13" s="47" t="s">
        <v>16</v>
      </c>
      <c r="H13" s="48">
        <f>3+1/2</f>
        <v>3.5</v>
      </c>
      <c r="I13" s="49">
        <f t="shared" si="0"/>
        <v>88.89999999999999</v>
      </c>
      <c r="J13" s="45">
        <f>(J14)*2^0.25</f>
        <v>90.50966799187805</v>
      </c>
      <c r="K13" s="46">
        <v>6.08</v>
      </c>
      <c r="L13" s="15"/>
    </row>
    <row r="14" spans="2:12" ht="12.75">
      <c r="B14" s="12"/>
      <c r="C14" s="38"/>
      <c r="D14" s="39"/>
      <c r="E14" s="40"/>
      <c r="F14" s="41"/>
      <c r="G14" s="47" t="s">
        <v>17</v>
      </c>
      <c r="H14" s="48">
        <f>3</f>
        <v>3</v>
      </c>
      <c r="I14" s="49">
        <f t="shared" si="0"/>
        <v>76.19999999999999</v>
      </c>
      <c r="J14" s="45">
        <f>(J15)*2^0.25</f>
        <v>76.10925536017412</v>
      </c>
      <c r="K14" s="46">
        <v>5.8</v>
      </c>
      <c r="L14" s="15"/>
    </row>
    <row r="15" spans="2:12" ht="12.75">
      <c r="B15" s="12"/>
      <c r="C15" s="38"/>
      <c r="D15" s="39"/>
      <c r="E15" s="40"/>
      <c r="F15" s="41"/>
      <c r="G15" s="47" t="s">
        <v>18</v>
      </c>
      <c r="H15" s="48">
        <f>2+1/2</f>
        <v>2.5</v>
      </c>
      <c r="I15" s="49">
        <f t="shared" si="0"/>
        <v>63.5</v>
      </c>
      <c r="J15" s="45">
        <f>(J16)*2^0.25</f>
        <v>63.99999999999997</v>
      </c>
      <c r="K15" s="46">
        <v>5.5</v>
      </c>
      <c r="L15" s="15"/>
    </row>
    <row r="16" spans="2:12" ht="12.75">
      <c r="B16" s="12"/>
      <c r="C16" s="38"/>
      <c r="D16" s="39"/>
      <c r="E16" s="40"/>
      <c r="F16" s="41"/>
      <c r="G16" s="47" t="s">
        <v>19</v>
      </c>
      <c r="H16" s="51">
        <f>2+1/4</f>
        <v>2.25</v>
      </c>
      <c r="I16" s="49">
        <f t="shared" si="0"/>
        <v>57.15</v>
      </c>
      <c r="J16" s="45">
        <f>(J18)*2^0.25</f>
        <v>53.81737057623771</v>
      </c>
      <c r="K16" s="46">
        <v>5.15</v>
      </c>
      <c r="L16" s="15"/>
    </row>
    <row r="17" spans="2:12" ht="12.75">
      <c r="B17" s="12"/>
      <c r="C17" s="38"/>
      <c r="D17" s="39"/>
      <c r="E17" s="40"/>
      <c r="F17" s="41"/>
      <c r="G17" s="47" t="s">
        <v>20</v>
      </c>
      <c r="H17" s="48">
        <v>2</v>
      </c>
      <c r="I17" s="49">
        <f t="shared" si="0"/>
        <v>50.8</v>
      </c>
      <c r="J17" s="50"/>
      <c r="K17" s="46">
        <v>5.05</v>
      </c>
      <c r="L17" s="15"/>
    </row>
    <row r="18" spans="2:12" ht="12.75">
      <c r="B18" s="12"/>
      <c r="C18" s="38"/>
      <c r="D18" s="39"/>
      <c r="E18" s="40"/>
      <c r="F18" s="41"/>
      <c r="G18" s="47" t="s">
        <v>21</v>
      </c>
      <c r="H18" s="48">
        <f>1+3/4</f>
        <v>1.75</v>
      </c>
      <c r="I18" s="49">
        <f t="shared" si="0"/>
        <v>44.449999999999996</v>
      </c>
      <c r="J18" s="45">
        <f>(J19)*2^0.25</f>
        <v>45.25483399593902</v>
      </c>
      <c r="K18" s="46">
        <v>4.85</v>
      </c>
      <c r="L18" s="15"/>
    </row>
    <row r="19" spans="2:12" ht="12.75">
      <c r="B19" s="12"/>
      <c r="C19" s="38"/>
      <c r="D19" s="39"/>
      <c r="E19" s="40"/>
      <c r="F19" s="41"/>
      <c r="G19" s="47" t="s">
        <v>22</v>
      </c>
      <c r="H19" s="48">
        <f>1+1/2</f>
        <v>1.5</v>
      </c>
      <c r="I19" s="49">
        <f t="shared" si="0"/>
        <v>38.099999999999994</v>
      </c>
      <c r="J19" s="45">
        <f>(J20)*2^0.25</f>
        <v>38.05462768008706</v>
      </c>
      <c r="K19" s="46">
        <v>4.59</v>
      </c>
      <c r="L19" s="15"/>
    </row>
    <row r="20" spans="2:12" ht="12.75">
      <c r="B20" s="12"/>
      <c r="C20" s="38"/>
      <c r="D20" s="39"/>
      <c r="E20" s="40"/>
      <c r="F20" s="41"/>
      <c r="G20" s="47" t="s">
        <v>23</v>
      </c>
      <c r="H20" s="48">
        <f>1+1/4</f>
        <v>1.25</v>
      </c>
      <c r="I20" s="49">
        <f t="shared" si="0"/>
        <v>31.75</v>
      </c>
      <c r="J20" s="45">
        <f>(J21)*2^0.25</f>
        <v>31.999999999999986</v>
      </c>
      <c r="K20" s="46">
        <v>4.23</v>
      </c>
      <c r="L20" s="15"/>
    </row>
    <row r="21" spans="2:12" ht="12.75">
      <c r="B21" s="12"/>
      <c r="C21" s="38"/>
      <c r="D21" s="39"/>
      <c r="E21" s="40"/>
      <c r="F21" s="41"/>
      <c r="G21" s="38"/>
      <c r="H21" s="48">
        <f>1.06</f>
        <v>1.06</v>
      </c>
      <c r="I21" s="49">
        <f t="shared" si="0"/>
        <v>26.924</v>
      </c>
      <c r="J21" s="45">
        <f>(J23)*2^0.25</f>
        <v>26.908685288118853</v>
      </c>
      <c r="K21" s="46">
        <v>3.9</v>
      </c>
      <c r="L21" s="15"/>
    </row>
    <row r="22" spans="2:12" ht="12.75">
      <c r="B22" s="12"/>
      <c r="C22" s="38"/>
      <c r="D22" s="39"/>
      <c r="E22" s="40"/>
      <c r="F22" s="41"/>
      <c r="G22" s="38">
        <v>1</v>
      </c>
      <c r="H22" s="48">
        <v>1</v>
      </c>
      <c r="I22" s="49">
        <f t="shared" si="0"/>
        <v>25.4</v>
      </c>
      <c r="J22" s="50"/>
      <c r="K22" s="46">
        <v>3.8</v>
      </c>
      <c r="L22" s="15"/>
    </row>
    <row r="23" spans="2:12" ht="12.75">
      <c r="B23" s="12"/>
      <c r="C23" s="38"/>
      <c r="D23" s="39"/>
      <c r="E23" s="40"/>
      <c r="F23" s="41"/>
      <c r="G23" s="47" t="s">
        <v>24</v>
      </c>
      <c r="H23" s="48">
        <f>7/8</f>
        <v>0.875</v>
      </c>
      <c r="I23" s="49">
        <f t="shared" si="0"/>
        <v>22.224999999999998</v>
      </c>
      <c r="J23" s="45">
        <f>(J24)*2^0.25</f>
        <v>22.62741699796951</v>
      </c>
      <c r="K23" s="46">
        <v>3.5</v>
      </c>
      <c r="L23" s="15"/>
    </row>
    <row r="24" spans="2:12" ht="12.75">
      <c r="B24" s="12"/>
      <c r="C24" s="38"/>
      <c r="D24" s="39"/>
      <c r="E24" s="40"/>
      <c r="F24" s="41"/>
      <c r="G24" s="47" t="s">
        <v>25</v>
      </c>
      <c r="H24" s="48">
        <f>3/4</f>
        <v>0.75</v>
      </c>
      <c r="I24" s="49">
        <f t="shared" si="0"/>
        <v>19.049999999999997</v>
      </c>
      <c r="J24" s="45">
        <f>(J25)*2^0.25</f>
        <v>19.02731384004353</v>
      </c>
      <c r="K24" s="46">
        <v>3.3</v>
      </c>
      <c r="L24" s="15"/>
    </row>
    <row r="25" spans="2:12" ht="12.75">
      <c r="B25" s="12"/>
      <c r="C25" s="38"/>
      <c r="D25" s="39"/>
      <c r="E25" s="40"/>
      <c r="F25" s="41"/>
      <c r="G25" s="47" t="s">
        <v>26</v>
      </c>
      <c r="H25" s="48">
        <f>5/8</f>
        <v>0.625</v>
      </c>
      <c r="I25" s="49">
        <f t="shared" si="0"/>
        <v>15.875</v>
      </c>
      <c r="J25" s="45">
        <f>(J26)*2^0.25</f>
        <v>15.999999999999993</v>
      </c>
      <c r="K25" s="46">
        <v>3</v>
      </c>
      <c r="L25" s="15"/>
    </row>
    <row r="26" spans="2:12" ht="12.75">
      <c r="B26" s="12"/>
      <c r="C26" s="38"/>
      <c r="D26" s="39"/>
      <c r="E26" s="40"/>
      <c r="F26" s="41"/>
      <c r="G26" s="38"/>
      <c r="H26" s="48">
        <v>0.53</v>
      </c>
      <c r="I26" s="49">
        <f t="shared" si="0"/>
        <v>13.462</v>
      </c>
      <c r="J26" s="45">
        <f>(J28)*2^0.25</f>
        <v>13.454342644059427</v>
      </c>
      <c r="K26" s="46">
        <v>2.75</v>
      </c>
      <c r="L26" s="15"/>
    </row>
    <row r="27" spans="2:12" ht="12.75">
      <c r="B27" s="12"/>
      <c r="C27" s="38"/>
      <c r="D27" s="39"/>
      <c r="E27" s="40"/>
      <c r="F27" s="41"/>
      <c r="G27" s="47" t="s">
        <v>27</v>
      </c>
      <c r="H27" s="48">
        <f>1/2</f>
        <v>0.5</v>
      </c>
      <c r="I27" s="49">
        <f t="shared" si="0"/>
        <v>12.7</v>
      </c>
      <c r="J27" s="45"/>
      <c r="K27" s="46">
        <v>2.67</v>
      </c>
      <c r="L27" s="15"/>
    </row>
    <row r="28" spans="2:12" ht="12.75">
      <c r="B28" s="12"/>
      <c r="C28" s="38"/>
      <c r="D28" s="39"/>
      <c r="E28" s="40"/>
      <c r="F28" s="41"/>
      <c r="G28" s="47" t="s">
        <v>28</v>
      </c>
      <c r="H28" s="48">
        <f>7/16</f>
        <v>0.4375</v>
      </c>
      <c r="I28" s="49">
        <f t="shared" si="0"/>
        <v>11.112499999999999</v>
      </c>
      <c r="J28" s="45">
        <f>(J29)*2^0.25</f>
        <v>11.313708498984756</v>
      </c>
      <c r="K28" s="46">
        <v>2.45</v>
      </c>
      <c r="L28" s="15"/>
    </row>
    <row r="29" spans="2:12" ht="12.75">
      <c r="B29" s="12"/>
      <c r="C29" s="38"/>
      <c r="D29" s="39"/>
      <c r="E29" s="40"/>
      <c r="F29" s="41"/>
      <c r="G29" s="47" t="s">
        <v>29</v>
      </c>
      <c r="H29" s="48">
        <f>3/8</f>
        <v>0.375</v>
      </c>
      <c r="I29" s="49">
        <f t="shared" si="0"/>
        <v>9.524999999999999</v>
      </c>
      <c r="J29" s="45">
        <f>(J30)*2^0.25</f>
        <v>9.513656920021765</v>
      </c>
      <c r="K29" s="46">
        <v>2.27</v>
      </c>
      <c r="L29" s="15"/>
    </row>
    <row r="30" spans="2:12" ht="12.75">
      <c r="B30" s="12"/>
      <c r="C30" s="38"/>
      <c r="D30" s="39"/>
      <c r="E30" s="40"/>
      <c r="F30" s="41"/>
      <c r="G30" s="52" t="s">
        <v>30</v>
      </c>
      <c r="H30" s="48">
        <f>5/16</f>
        <v>0.3125</v>
      </c>
      <c r="I30" s="49">
        <f t="shared" si="0"/>
        <v>7.9375</v>
      </c>
      <c r="J30" s="45">
        <f>(J31)*2^0.25</f>
        <v>7.9999999999999964</v>
      </c>
      <c r="K30" s="46">
        <v>2.07</v>
      </c>
      <c r="L30" s="15"/>
    </row>
    <row r="31" spans="2:12" ht="12.75">
      <c r="B31" s="12"/>
      <c r="C31" s="38"/>
      <c r="D31" s="39"/>
      <c r="E31" s="40"/>
      <c r="F31" s="41"/>
      <c r="G31" s="52"/>
      <c r="H31" s="48">
        <v>0.265</v>
      </c>
      <c r="I31" s="53">
        <f t="shared" si="0"/>
        <v>6.731</v>
      </c>
      <c r="J31" s="45">
        <f>(J36)*2^0.25</f>
        <v>6.727171322029713</v>
      </c>
      <c r="K31" s="46">
        <v>1.87</v>
      </c>
      <c r="L31" s="15"/>
    </row>
    <row r="32" spans="2:12" ht="12.75">
      <c r="B32" s="12"/>
      <c r="C32" s="38"/>
      <c r="D32" s="54"/>
      <c r="E32" s="51"/>
      <c r="F32" s="55"/>
      <c r="G32" s="56" t="s">
        <v>31</v>
      </c>
      <c r="H32" s="51">
        <v>0.25</v>
      </c>
      <c r="I32" s="53">
        <f t="shared" si="0"/>
        <v>6.35</v>
      </c>
      <c r="J32" s="45">
        <v>6.3</v>
      </c>
      <c r="K32" s="46">
        <v>1.82</v>
      </c>
      <c r="L32" s="15"/>
    </row>
    <row r="33" spans="2:12" ht="12.75">
      <c r="B33" s="12"/>
      <c r="C33" s="57"/>
      <c r="D33" s="58"/>
      <c r="E33" s="51"/>
      <c r="F33" s="55"/>
      <c r="G33" s="59" t="s">
        <v>1</v>
      </c>
      <c r="H33" s="51"/>
      <c r="I33" s="53"/>
      <c r="J33" s="45"/>
      <c r="K33" s="46"/>
      <c r="L33" s="15"/>
    </row>
    <row r="34" spans="2:12" ht="12.75">
      <c r="B34" s="12"/>
      <c r="C34" s="38"/>
      <c r="D34" s="60" t="s">
        <v>34</v>
      </c>
      <c r="E34" s="51">
        <f aca="true" t="shared" si="1" ref="E34:E60">E35*2^0.25</f>
        <v>0.31214074934217867</v>
      </c>
      <c r="F34" s="55">
        <f aca="true" t="shared" si="2" ref="F34:F45">E34*25.4</f>
        <v>7.928375033291338</v>
      </c>
      <c r="G34" s="61" t="s">
        <v>34</v>
      </c>
      <c r="H34" s="51">
        <f aca="true" t="shared" si="3" ref="H34:H45">H35*2^0.25</f>
        <v>0.31496062992125984</v>
      </c>
      <c r="I34" s="53">
        <f aca="true" t="shared" si="4" ref="I34:I45">H34*25.4</f>
        <v>7.999999999999999</v>
      </c>
      <c r="J34" s="45">
        <f aca="true" t="shared" si="5" ref="J34:J44">(J35)*2^0.25</f>
        <v>7.9999999999999964</v>
      </c>
      <c r="K34" s="46">
        <v>2.07</v>
      </c>
      <c r="L34" s="15"/>
    </row>
    <row r="35" spans="2:12" ht="12.75">
      <c r="B35" s="12"/>
      <c r="C35" s="38">
        <v>3</v>
      </c>
      <c r="D35" s="39"/>
      <c r="E35" s="51">
        <f t="shared" si="1"/>
        <v>0.2624780371764463</v>
      </c>
      <c r="F35" s="55">
        <f t="shared" si="2"/>
        <v>6.666942144281736</v>
      </c>
      <c r="G35" s="38">
        <v>3</v>
      </c>
      <c r="H35" s="51">
        <f t="shared" si="3"/>
        <v>0.2648492646468392</v>
      </c>
      <c r="I35" s="53">
        <f t="shared" si="4"/>
        <v>6.727171322029716</v>
      </c>
      <c r="J35" s="45">
        <f t="shared" si="5"/>
        <v>6.727171322029713</v>
      </c>
      <c r="K35" s="46">
        <v>1.87</v>
      </c>
      <c r="L35" s="15"/>
    </row>
    <row r="36" spans="2:12" ht="12.75">
      <c r="B36" s="12"/>
      <c r="C36" s="62"/>
      <c r="D36" s="63" t="s">
        <v>35</v>
      </c>
      <c r="E36" s="51">
        <f t="shared" si="1"/>
        <v>0.2207168405445049</v>
      </c>
      <c r="F36" s="55">
        <f t="shared" si="2"/>
        <v>5.606207749830425</v>
      </c>
      <c r="G36" s="64" t="s">
        <v>35</v>
      </c>
      <c r="H36" s="51">
        <f t="shared" si="3"/>
        <v>0.22271079722410944</v>
      </c>
      <c r="I36" s="53">
        <f t="shared" si="4"/>
        <v>5.65685424949238</v>
      </c>
      <c r="J36" s="45">
        <f t="shared" si="5"/>
        <v>5.656854249492378</v>
      </c>
      <c r="K36" s="46">
        <v>1.68</v>
      </c>
      <c r="L36" s="15"/>
    </row>
    <row r="37" spans="2:12" ht="12.75">
      <c r="B37" s="12"/>
      <c r="C37" s="38">
        <v>4</v>
      </c>
      <c r="D37" s="39"/>
      <c r="E37" s="51">
        <f t="shared" si="1"/>
        <v>0.1855999999999999</v>
      </c>
      <c r="F37" s="55">
        <f t="shared" si="2"/>
        <v>4.7142399999999975</v>
      </c>
      <c r="G37" s="38">
        <v>4</v>
      </c>
      <c r="H37" s="51">
        <f t="shared" si="3"/>
        <v>0.18727671102405055</v>
      </c>
      <c r="I37" s="53">
        <f t="shared" si="4"/>
        <v>4.756828460010884</v>
      </c>
      <c r="J37" s="45">
        <f t="shared" si="5"/>
        <v>4.756828460010882</v>
      </c>
      <c r="K37" s="46">
        <v>1.54</v>
      </c>
      <c r="L37" s="15"/>
    </row>
    <row r="38" spans="2:12" ht="12.75">
      <c r="B38" s="12"/>
      <c r="C38" s="38"/>
      <c r="D38" s="39">
        <v>5</v>
      </c>
      <c r="E38" s="51">
        <f t="shared" si="1"/>
        <v>0.15607037467108933</v>
      </c>
      <c r="F38" s="55">
        <f t="shared" si="2"/>
        <v>3.964187516645669</v>
      </c>
      <c r="G38" s="38">
        <v>5</v>
      </c>
      <c r="H38" s="51">
        <f t="shared" si="3"/>
        <v>0.15748031496062992</v>
      </c>
      <c r="I38" s="53">
        <f t="shared" si="4"/>
        <v>3.9999999999999996</v>
      </c>
      <c r="J38" s="45">
        <f t="shared" si="5"/>
        <v>3.9999999999999987</v>
      </c>
      <c r="K38" s="46">
        <v>1.37</v>
      </c>
      <c r="L38" s="15"/>
    </row>
    <row r="39" spans="2:12" ht="12.75">
      <c r="B39" s="12"/>
      <c r="C39" s="38">
        <v>6</v>
      </c>
      <c r="D39" s="39"/>
      <c r="E39" s="51">
        <f t="shared" si="1"/>
        <v>0.13123901858822315</v>
      </c>
      <c r="F39" s="55">
        <f t="shared" si="2"/>
        <v>3.333471072140868</v>
      </c>
      <c r="G39" s="38">
        <v>6</v>
      </c>
      <c r="H39" s="51">
        <f t="shared" si="3"/>
        <v>0.1324246323234196</v>
      </c>
      <c r="I39" s="53">
        <f t="shared" si="4"/>
        <v>3.363585661014858</v>
      </c>
      <c r="J39" s="45">
        <f t="shared" si="5"/>
        <v>3.363585661014857</v>
      </c>
      <c r="K39" s="46">
        <v>1.23</v>
      </c>
      <c r="L39" s="15"/>
    </row>
    <row r="40" spans="2:12" ht="12.75">
      <c r="B40" s="12"/>
      <c r="C40" s="38"/>
      <c r="D40" s="39">
        <v>7</v>
      </c>
      <c r="E40" s="51">
        <f t="shared" si="1"/>
        <v>0.11035842027225246</v>
      </c>
      <c r="F40" s="55">
        <f t="shared" si="2"/>
        <v>2.8031038749152124</v>
      </c>
      <c r="G40" s="38">
        <v>7</v>
      </c>
      <c r="H40" s="51">
        <f t="shared" si="3"/>
        <v>0.11135539861205472</v>
      </c>
      <c r="I40" s="53">
        <f t="shared" si="4"/>
        <v>2.82842712474619</v>
      </c>
      <c r="J40" s="45">
        <f t="shared" si="5"/>
        <v>2.8284271247461894</v>
      </c>
      <c r="K40" s="46">
        <v>1.1</v>
      </c>
      <c r="L40" s="15"/>
    </row>
    <row r="41" spans="2:12" ht="12.75">
      <c r="B41" s="12"/>
      <c r="C41" s="38">
        <v>8</v>
      </c>
      <c r="D41" s="39"/>
      <c r="E41" s="51">
        <f t="shared" si="1"/>
        <v>0.09279999999999995</v>
      </c>
      <c r="F41" s="55">
        <f t="shared" si="2"/>
        <v>2.3571199999999988</v>
      </c>
      <c r="G41" s="38">
        <v>8</v>
      </c>
      <c r="H41" s="51">
        <f t="shared" si="3"/>
        <v>0.09363835551202528</v>
      </c>
      <c r="I41" s="53">
        <f t="shared" si="4"/>
        <v>2.378414230005442</v>
      </c>
      <c r="J41" s="45">
        <f t="shared" si="5"/>
        <v>2.3784142300054416</v>
      </c>
      <c r="K41" s="46">
        <v>1</v>
      </c>
      <c r="L41" s="15"/>
    </row>
    <row r="42" spans="2:12" ht="12.75">
      <c r="B42" s="12"/>
      <c r="C42" s="38"/>
      <c r="D42" s="39">
        <v>9</v>
      </c>
      <c r="E42" s="51">
        <f t="shared" si="1"/>
        <v>0.07803518733554467</v>
      </c>
      <c r="F42" s="55">
        <f t="shared" si="2"/>
        <v>1.9820937583228344</v>
      </c>
      <c r="G42" s="38">
        <v>10</v>
      </c>
      <c r="H42" s="51">
        <f t="shared" si="3"/>
        <v>0.07874015748031496</v>
      </c>
      <c r="I42" s="53">
        <f t="shared" si="4"/>
        <v>1.9999999999999998</v>
      </c>
      <c r="J42" s="45">
        <f t="shared" si="5"/>
        <v>1.9999999999999996</v>
      </c>
      <c r="K42" s="46">
        <v>0.9</v>
      </c>
      <c r="L42" s="15"/>
    </row>
    <row r="43" spans="2:12" ht="12.75">
      <c r="B43" s="12"/>
      <c r="C43" s="38">
        <v>10</v>
      </c>
      <c r="D43" s="39"/>
      <c r="E43" s="51">
        <f t="shared" si="1"/>
        <v>0.06561950929411157</v>
      </c>
      <c r="F43" s="55">
        <f t="shared" si="2"/>
        <v>1.666735536070434</v>
      </c>
      <c r="G43" s="38">
        <v>12</v>
      </c>
      <c r="H43" s="51">
        <f t="shared" si="3"/>
        <v>0.0662123161617098</v>
      </c>
      <c r="I43" s="53">
        <f t="shared" si="4"/>
        <v>1.681792830507429</v>
      </c>
      <c r="J43" s="45">
        <f t="shared" si="5"/>
        <v>1.6817928305074288</v>
      </c>
      <c r="K43" s="46">
        <v>0.81</v>
      </c>
      <c r="L43" s="15"/>
    </row>
    <row r="44" spans="2:12" ht="12.75">
      <c r="B44" s="12"/>
      <c r="C44" s="38"/>
      <c r="D44" s="39">
        <v>12</v>
      </c>
      <c r="E44" s="51">
        <f t="shared" si="1"/>
        <v>0.05517921013612623</v>
      </c>
      <c r="F44" s="55">
        <f t="shared" si="2"/>
        <v>1.4015519374576062</v>
      </c>
      <c r="G44" s="38">
        <v>14</v>
      </c>
      <c r="H44" s="51">
        <f t="shared" si="3"/>
        <v>0.05567769930602736</v>
      </c>
      <c r="I44" s="53">
        <f t="shared" si="4"/>
        <v>1.414213562373095</v>
      </c>
      <c r="J44" s="45">
        <f t="shared" si="5"/>
        <v>1.414213562373095</v>
      </c>
      <c r="K44" s="46">
        <v>0.725</v>
      </c>
      <c r="L44" s="15"/>
    </row>
    <row r="45" spans="2:12" ht="12.75">
      <c r="B45" s="12"/>
      <c r="C45" s="38">
        <v>14</v>
      </c>
      <c r="D45" s="39"/>
      <c r="E45" s="51">
        <f t="shared" si="1"/>
        <v>0.046399999999999976</v>
      </c>
      <c r="F45" s="55">
        <f t="shared" si="2"/>
        <v>1.1785599999999994</v>
      </c>
      <c r="G45" s="38">
        <v>16</v>
      </c>
      <c r="H45" s="51">
        <f t="shared" si="3"/>
        <v>0.04681917775601264</v>
      </c>
      <c r="I45" s="53">
        <f t="shared" si="4"/>
        <v>1.189207115002721</v>
      </c>
      <c r="J45" s="45">
        <f>(J46/1000)*2^0.25</f>
        <v>1.189207115002721</v>
      </c>
      <c r="K45" s="46">
        <v>0.65</v>
      </c>
      <c r="L45" s="15"/>
    </row>
    <row r="46" spans="2:12" ht="12.75">
      <c r="B46" s="12"/>
      <c r="C46" s="38"/>
      <c r="D46" s="39">
        <v>16</v>
      </c>
      <c r="E46" s="51">
        <f t="shared" si="1"/>
        <v>0.039017593667772334</v>
      </c>
      <c r="F46" s="65">
        <f aca="true" t="shared" si="6" ref="F46:F65">E46*25.4*1000</f>
        <v>991.0468791614172</v>
      </c>
      <c r="G46" s="66" t="s">
        <v>46</v>
      </c>
      <c r="H46" s="51">
        <f>1/25.4</f>
        <v>0.03937007874015748</v>
      </c>
      <c r="I46" s="67">
        <f aca="true" t="shared" si="7" ref="I46:I68">H46*25.4*1000</f>
        <v>999.9999999999999</v>
      </c>
      <c r="J46" s="68">
        <v>1000</v>
      </c>
      <c r="K46" s="46">
        <v>0.58</v>
      </c>
      <c r="L46" s="15"/>
    </row>
    <row r="47" spans="2:12" ht="12.75">
      <c r="B47" s="12"/>
      <c r="C47" s="38">
        <v>20</v>
      </c>
      <c r="D47" s="39"/>
      <c r="E47" s="51">
        <f t="shared" si="1"/>
        <v>0.03280975464705579</v>
      </c>
      <c r="F47" s="65">
        <f t="shared" si="6"/>
        <v>833.367768035217</v>
      </c>
      <c r="G47" s="38">
        <v>20</v>
      </c>
      <c r="H47" s="51">
        <f aca="true" t="shared" si="8" ref="H47:H65">H46/2^0.25</f>
        <v>0.0331061580808549</v>
      </c>
      <c r="I47" s="67">
        <f t="shared" si="7"/>
        <v>840.8964152537145</v>
      </c>
      <c r="J47" s="68">
        <f aca="true" t="shared" si="9" ref="J47:J68">J46/2^0.25</f>
        <v>840.8964152537146</v>
      </c>
      <c r="K47" s="46">
        <v>0.51</v>
      </c>
      <c r="L47" s="15"/>
    </row>
    <row r="48" spans="2:12" ht="12.75">
      <c r="B48" s="12"/>
      <c r="C48" s="38"/>
      <c r="D48" s="39">
        <v>24</v>
      </c>
      <c r="E48" s="51">
        <f t="shared" si="1"/>
        <v>0.027589605068063114</v>
      </c>
      <c r="F48" s="65">
        <f t="shared" si="6"/>
        <v>700.7759687288032</v>
      </c>
      <c r="G48" s="38">
        <v>25</v>
      </c>
      <c r="H48" s="51">
        <f t="shared" si="8"/>
        <v>0.027838849653013684</v>
      </c>
      <c r="I48" s="67">
        <f t="shared" si="7"/>
        <v>707.1067811865476</v>
      </c>
      <c r="J48" s="68">
        <f t="shared" si="9"/>
        <v>707.1067811865477</v>
      </c>
      <c r="K48" s="46">
        <v>0.45</v>
      </c>
      <c r="L48" s="15"/>
    </row>
    <row r="49" spans="2:12" ht="12.75">
      <c r="B49" s="12"/>
      <c r="C49" s="38">
        <v>28</v>
      </c>
      <c r="D49" s="39"/>
      <c r="E49" s="51">
        <f t="shared" si="1"/>
        <v>0.023199999999999988</v>
      </c>
      <c r="F49" s="65">
        <f t="shared" si="6"/>
        <v>589.2799999999997</v>
      </c>
      <c r="G49" s="38">
        <v>30</v>
      </c>
      <c r="H49" s="51">
        <f t="shared" si="8"/>
        <v>0.023409588878006322</v>
      </c>
      <c r="I49" s="67">
        <f t="shared" si="7"/>
        <v>594.6035575013606</v>
      </c>
      <c r="J49" s="68">
        <f t="shared" si="9"/>
        <v>594.6035575013607</v>
      </c>
      <c r="K49" s="46">
        <v>0.39</v>
      </c>
      <c r="L49" s="15"/>
    </row>
    <row r="50" spans="2:12" ht="12.75">
      <c r="B50" s="12"/>
      <c r="C50" s="38"/>
      <c r="D50" s="39">
        <v>32</v>
      </c>
      <c r="E50" s="51">
        <f t="shared" si="1"/>
        <v>0.019508796833886167</v>
      </c>
      <c r="F50" s="65">
        <f t="shared" si="6"/>
        <v>495.5234395807086</v>
      </c>
      <c r="G50" s="38">
        <v>35</v>
      </c>
      <c r="H50" s="51">
        <f t="shared" si="8"/>
        <v>0.019685039370078743</v>
      </c>
      <c r="I50" s="67">
        <f t="shared" si="7"/>
        <v>500</v>
      </c>
      <c r="J50" s="68">
        <f t="shared" si="9"/>
        <v>500.00000000000017</v>
      </c>
      <c r="K50" s="46">
        <v>0.34</v>
      </c>
      <c r="L50" s="15"/>
    </row>
    <row r="51" spans="2:12" ht="12.75">
      <c r="B51" s="12"/>
      <c r="C51" s="38">
        <v>35</v>
      </c>
      <c r="D51" s="39"/>
      <c r="E51" s="51">
        <f t="shared" si="1"/>
        <v>0.016404877323527894</v>
      </c>
      <c r="F51" s="65">
        <f t="shared" si="6"/>
        <v>416.6838840176085</v>
      </c>
      <c r="G51" s="38">
        <v>40</v>
      </c>
      <c r="H51" s="51">
        <f t="shared" si="8"/>
        <v>0.016553079040427455</v>
      </c>
      <c r="I51" s="67">
        <f t="shared" si="7"/>
        <v>420.4482076268573</v>
      </c>
      <c r="J51" s="68">
        <f t="shared" si="9"/>
        <v>420.4482076268574</v>
      </c>
      <c r="K51" s="46">
        <v>0.29</v>
      </c>
      <c r="L51" s="15"/>
    </row>
    <row r="52" spans="2:12" ht="12.75">
      <c r="B52" s="12"/>
      <c r="C52" s="38"/>
      <c r="D52" s="39">
        <v>42</v>
      </c>
      <c r="E52" s="51">
        <f t="shared" si="1"/>
        <v>0.013794802534031559</v>
      </c>
      <c r="F52" s="65">
        <f t="shared" si="6"/>
        <v>350.3879843644016</v>
      </c>
      <c r="G52" s="38">
        <v>45</v>
      </c>
      <c r="H52" s="51">
        <f t="shared" si="8"/>
        <v>0.013919424826506844</v>
      </c>
      <c r="I52" s="67">
        <f t="shared" si="7"/>
        <v>353.5533905932738</v>
      </c>
      <c r="J52" s="68">
        <f t="shared" si="9"/>
        <v>353.5533905932739</v>
      </c>
      <c r="K52" s="46">
        <v>0.247</v>
      </c>
      <c r="L52" s="15"/>
    </row>
    <row r="53" spans="2:12" ht="12.75">
      <c r="B53" s="12"/>
      <c r="C53" s="38">
        <v>48</v>
      </c>
      <c r="D53" s="39"/>
      <c r="E53" s="51">
        <f t="shared" si="1"/>
        <v>0.011599999999999996</v>
      </c>
      <c r="F53" s="65">
        <f t="shared" si="6"/>
        <v>294.63999999999993</v>
      </c>
      <c r="G53" s="38">
        <v>50</v>
      </c>
      <c r="H53" s="51">
        <f t="shared" si="8"/>
        <v>0.011704794439003163</v>
      </c>
      <c r="I53" s="67">
        <f t="shared" si="7"/>
        <v>297.3017787506803</v>
      </c>
      <c r="J53" s="68">
        <f t="shared" si="9"/>
        <v>297.3017787506804</v>
      </c>
      <c r="K53" s="46">
        <v>0.215</v>
      </c>
      <c r="L53" s="15"/>
    </row>
    <row r="54" spans="2:12" ht="12.75">
      <c r="B54" s="12"/>
      <c r="C54" s="38"/>
      <c r="D54" s="39">
        <v>60</v>
      </c>
      <c r="E54" s="51">
        <f t="shared" si="1"/>
        <v>0.009754398416943085</v>
      </c>
      <c r="F54" s="65">
        <f t="shared" si="6"/>
        <v>247.76171979035436</v>
      </c>
      <c r="G54" s="38">
        <v>60</v>
      </c>
      <c r="H54" s="51">
        <f t="shared" si="8"/>
        <v>0.009842519685039373</v>
      </c>
      <c r="I54" s="67">
        <f t="shared" si="7"/>
        <v>250.00000000000006</v>
      </c>
      <c r="J54" s="68">
        <f t="shared" si="9"/>
        <v>250.0000000000001</v>
      </c>
      <c r="K54" s="46">
        <v>0.18</v>
      </c>
      <c r="L54" s="15"/>
    </row>
    <row r="55" spans="2:12" ht="12.75">
      <c r="B55" s="12"/>
      <c r="C55" s="38">
        <v>65</v>
      </c>
      <c r="D55" s="39"/>
      <c r="E55" s="51">
        <f t="shared" si="1"/>
        <v>0.008202438661763949</v>
      </c>
      <c r="F55" s="65">
        <f t="shared" si="6"/>
        <v>208.3419420088043</v>
      </c>
      <c r="G55" s="38">
        <v>70</v>
      </c>
      <c r="H55" s="51">
        <f t="shared" si="8"/>
        <v>0.00827653952021373</v>
      </c>
      <c r="I55" s="67">
        <f t="shared" si="7"/>
        <v>210.2241038134287</v>
      </c>
      <c r="J55" s="68">
        <f t="shared" si="9"/>
        <v>210.22410381342874</v>
      </c>
      <c r="K55" s="46">
        <v>0.152</v>
      </c>
      <c r="L55" s="15"/>
    </row>
    <row r="56" spans="2:12" ht="12.75">
      <c r="B56" s="12"/>
      <c r="C56" s="38"/>
      <c r="D56" s="39">
        <v>80</v>
      </c>
      <c r="E56" s="51">
        <f t="shared" si="1"/>
        <v>0.00689740126701578</v>
      </c>
      <c r="F56" s="65">
        <f t="shared" si="6"/>
        <v>175.19399218220082</v>
      </c>
      <c r="G56" s="38">
        <v>80</v>
      </c>
      <c r="H56" s="51">
        <f t="shared" si="8"/>
        <v>0.0069597124132534235</v>
      </c>
      <c r="I56" s="67">
        <f t="shared" si="7"/>
        <v>176.77669529663694</v>
      </c>
      <c r="J56" s="68">
        <f t="shared" si="9"/>
        <v>176.77669529663697</v>
      </c>
      <c r="K56" s="46">
        <v>0.131</v>
      </c>
      <c r="L56" s="15"/>
    </row>
    <row r="57" spans="2:12" ht="12.75">
      <c r="B57" s="12"/>
      <c r="C57" s="38">
        <v>100</v>
      </c>
      <c r="D57" s="39"/>
      <c r="E57" s="51">
        <f t="shared" si="1"/>
        <v>0.005799999999999999</v>
      </c>
      <c r="F57" s="65">
        <f t="shared" si="6"/>
        <v>147.31999999999996</v>
      </c>
      <c r="G57" s="38">
        <v>100</v>
      </c>
      <c r="H57" s="51">
        <f t="shared" si="8"/>
        <v>0.005852397219501582</v>
      </c>
      <c r="I57" s="67">
        <f t="shared" si="7"/>
        <v>148.65088937534017</v>
      </c>
      <c r="J57" s="68">
        <f t="shared" si="9"/>
        <v>148.65088937534023</v>
      </c>
      <c r="K57" s="46">
        <v>0.11</v>
      </c>
      <c r="L57" s="15"/>
    </row>
    <row r="58" spans="2:12" ht="12.75">
      <c r="B58" s="12"/>
      <c r="C58" s="38"/>
      <c r="D58" s="39">
        <v>115</v>
      </c>
      <c r="E58" s="51">
        <f t="shared" si="1"/>
        <v>0.0048771992084715434</v>
      </c>
      <c r="F58" s="65">
        <f t="shared" si="6"/>
        <v>123.8808598951772</v>
      </c>
      <c r="G58" s="38">
        <v>120</v>
      </c>
      <c r="H58" s="51">
        <f t="shared" si="8"/>
        <v>0.004921259842519687</v>
      </c>
      <c r="I58" s="67">
        <f t="shared" si="7"/>
        <v>125.00000000000003</v>
      </c>
      <c r="J58" s="68">
        <f t="shared" si="9"/>
        <v>125.00000000000009</v>
      </c>
      <c r="K58" s="46">
        <v>0.091</v>
      </c>
      <c r="L58" s="15"/>
    </row>
    <row r="59" spans="2:12" ht="12.75">
      <c r="B59" s="12"/>
      <c r="C59" s="38">
        <v>150</v>
      </c>
      <c r="D59" s="39"/>
      <c r="E59" s="51">
        <f t="shared" si="1"/>
        <v>0.004101219330881975</v>
      </c>
      <c r="F59" s="65">
        <f t="shared" si="6"/>
        <v>104.17097100440216</v>
      </c>
      <c r="G59" s="38">
        <v>140</v>
      </c>
      <c r="H59" s="51">
        <f t="shared" si="8"/>
        <v>0.004138269760106865</v>
      </c>
      <c r="I59" s="67">
        <f t="shared" si="7"/>
        <v>105.11205190671436</v>
      </c>
      <c r="J59" s="68">
        <f t="shared" si="9"/>
        <v>105.1120519067144</v>
      </c>
      <c r="K59" s="46">
        <v>0.076</v>
      </c>
      <c r="L59" s="15"/>
    </row>
    <row r="60" spans="2:12" ht="12.75">
      <c r="B60" s="12"/>
      <c r="C60" s="38"/>
      <c r="D60" s="39">
        <v>170</v>
      </c>
      <c r="E60" s="51">
        <f t="shared" si="1"/>
        <v>0.0034487006335078905</v>
      </c>
      <c r="F60" s="65">
        <f t="shared" si="6"/>
        <v>87.59699609110042</v>
      </c>
      <c r="G60" s="38">
        <v>170</v>
      </c>
      <c r="H60" s="51">
        <f t="shared" si="8"/>
        <v>0.0034798562066267118</v>
      </c>
      <c r="I60" s="67">
        <f t="shared" si="7"/>
        <v>88.38834764831847</v>
      </c>
      <c r="J60" s="68">
        <f t="shared" si="9"/>
        <v>88.38834764831851</v>
      </c>
      <c r="K60" s="46">
        <v>0.064</v>
      </c>
      <c r="L60" s="15"/>
    </row>
    <row r="61" spans="2:12" ht="12.75">
      <c r="B61" s="12"/>
      <c r="C61" s="66" t="s">
        <v>47</v>
      </c>
      <c r="D61" s="39"/>
      <c r="E61" s="51">
        <v>0.0029</v>
      </c>
      <c r="F61" s="65">
        <f t="shared" si="6"/>
        <v>73.65999999999998</v>
      </c>
      <c r="G61" s="38">
        <v>200</v>
      </c>
      <c r="H61" s="51">
        <f t="shared" si="8"/>
        <v>0.002926198609750791</v>
      </c>
      <c r="I61" s="67">
        <f t="shared" si="7"/>
        <v>74.32544468767009</v>
      </c>
      <c r="J61" s="68">
        <f t="shared" si="9"/>
        <v>74.32544468767013</v>
      </c>
      <c r="K61" s="46">
        <v>0.053</v>
      </c>
      <c r="L61" s="15"/>
    </row>
    <row r="62" spans="2:12" ht="12.75">
      <c r="B62" s="12"/>
      <c r="C62" s="38"/>
      <c r="D62" s="39">
        <v>250</v>
      </c>
      <c r="E62" s="51">
        <f>E61/2^0.25</f>
        <v>0.002438599604235772</v>
      </c>
      <c r="F62" s="65">
        <f t="shared" si="6"/>
        <v>61.94042994758861</v>
      </c>
      <c r="G62" s="38">
        <v>230</v>
      </c>
      <c r="H62" s="51">
        <f t="shared" si="8"/>
        <v>0.0024606299212598434</v>
      </c>
      <c r="I62" s="67">
        <f t="shared" si="7"/>
        <v>62.500000000000014</v>
      </c>
      <c r="J62" s="68">
        <f t="shared" si="9"/>
        <v>62.50000000000006</v>
      </c>
      <c r="K62" s="46">
        <v>0.044</v>
      </c>
      <c r="L62" s="15"/>
    </row>
    <row r="63" spans="2:12" ht="12.75">
      <c r="B63" s="12"/>
      <c r="C63" s="38">
        <v>270</v>
      </c>
      <c r="D63" s="39"/>
      <c r="E63" s="51">
        <f>E62/2^0.25</f>
        <v>0.002050609665440988</v>
      </c>
      <c r="F63" s="65">
        <f t="shared" si="6"/>
        <v>52.085485502201095</v>
      </c>
      <c r="G63" s="38">
        <v>270</v>
      </c>
      <c r="H63" s="51">
        <f t="shared" si="8"/>
        <v>0.0020691348800534323</v>
      </c>
      <c r="I63" s="67">
        <f t="shared" si="7"/>
        <v>52.55602595335718</v>
      </c>
      <c r="J63" s="68">
        <f t="shared" si="9"/>
        <v>52.55602595335721</v>
      </c>
      <c r="K63" s="46">
        <v>0.037</v>
      </c>
      <c r="L63" s="15"/>
    </row>
    <row r="64" spans="2:12" ht="12.75">
      <c r="B64" s="12"/>
      <c r="C64" s="38"/>
      <c r="D64" s="39">
        <v>325</v>
      </c>
      <c r="E64" s="51">
        <f>E63/2^0.25</f>
        <v>0.0017243503167539457</v>
      </c>
      <c r="F64" s="65">
        <f t="shared" si="6"/>
        <v>43.79849804555022</v>
      </c>
      <c r="G64" s="38">
        <v>325</v>
      </c>
      <c r="H64" s="51">
        <f t="shared" si="8"/>
        <v>0.0017399281033133559</v>
      </c>
      <c r="I64" s="67">
        <f t="shared" si="7"/>
        <v>44.194173824159236</v>
      </c>
      <c r="J64" s="68">
        <f t="shared" si="9"/>
        <v>44.194173824159265</v>
      </c>
      <c r="K64" s="46">
        <v>0.03</v>
      </c>
      <c r="L64" s="15"/>
    </row>
    <row r="65" spans="2:12" ht="13.5" thickBot="1">
      <c r="B65" s="12"/>
      <c r="C65" s="69">
        <v>400</v>
      </c>
      <c r="D65" s="70"/>
      <c r="E65" s="71">
        <f>E64/2^0.25</f>
        <v>0.0014500000000000001</v>
      </c>
      <c r="F65" s="72">
        <f t="shared" si="6"/>
        <v>36.83</v>
      </c>
      <c r="G65" s="38">
        <v>400</v>
      </c>
      <c r="H65" s="51">
        <f t="shared" si="8"/>
        <v>0.0014630993048753956</v>
      </c>
      <c r="I65" s="67">
        <f t="shared" si="7"/>
        <v>37.16272234383504</v>
      </c>
      <c r="J65" s="68">
        <f t="shared" si="9"/>
        <v>37.16272234383507</v>
      </c>
      <c r="K65" s="46">
        <v>0.025</v>
      </c>
      <c r="L65" s="15"/>
    </row>
    <row r="66" spans="2:12" ht="12.75">
      <c r="B66" s="12"/>
      <c r="C66" s="73"/>
      <c r="D66" s="73"/>
      <c r="E66" s="73"/>
      <c r="F66" s="73"/>
      <c r="G66" s="38">
        <v>450</v>
      </c>
      <c r="H66" s="51">
        <v>0.00126</v>
      </c>
      <c r="I66" s="67">
        <f t="shared" si="7"/>
        <v>32.004</v>
      </c>
      <c r="J66" s="68">
        <f t="shared" si="9"/>
        <v>31.250000000000032</v>
      </c>
      <c r="K66" s="74">
        <v>0.028</v>
      </c>
      <c r="L66" s="15"/>
    </row>
    <row r="67" spans="2:12" ht="12.75">
      <c r="B67" s="12"/>
      <c r="C67" s="73"/>
      <c r="D67" s="73"/>
      <c r="E67" s="73"/>
      <c r="F67" s="73"/>
      <c r="G67" s="38">
        <v>500</v>
      </c>
      <c r="H67" s="48">
        <v>0.00098</v>
      </c>
      <c r="I67" s="67">
        <f t="shared" si="7"/>
        <v>24.891999999999996</v>
      </c>
      <c r="J67" s="68">
        <f t="shared" si="9"/>
        <v>26.278012976678607</v>
      </c>
      <c r="K67" s="75">
        <v>0.025</v>
      </c>
      <c r="L67" s="15"/>
    </row>
    <row r="68" spans="2:12" ht="13.5" thickBot="1">
      <c r="B68" s="12"/>
      <c r="C68" s="73"/>
      <c r="D68" s="73"/>
      <c r="E68" s="73"/>
      <c r="F68" s="73"/>
      <c r="G68" s="69">
        <v>635</v>
      </c>
      <c r="H68" s="76">
        <v>0.00079</v>
      </c>
      <c r="I68" s="77">
        <f t="shared" si="7"/>
        <v>20.066</v>
      </c>
      <c r="J68" s="78">
        <f t="shared" si="9"/>
        <v>22.097086912079632</v>
      </c>
      <c r="K68" s="79">
        <v>0.02</v>
      </c>
      <c r="L68" s="15"/>
    </row>
    <row r="69" spans="2:12" ht="12.75">
      <c r="B69" s="12"/>
      <c r="C69" s="73"/>
      <c r="D69" s="73"/>
      <c r="E69" s="73"/>
      <c r="F69" s="73"/>
      <c r="G69" s="80"/>
      <c r="H69" s="73"/>
      <c r="I69" s="73"/>
      <c r="J69" s="73"/>
      <c r="K69" s="73"/>
      <c r="L69" s="15"/>
    </row>
    <row r="70" spans="2:12" ht="12.75">
      <c r="B70" s="12"/>
      <c r="C70" s="81" t="s">
        <v>32</v>
      </c>
      <c r="D70" s="82" t="s">
        <v>44</v>
      </c>
      <c r="E70" s="81"/>
      <c r="F70" s="81"/>
      <c r="G70" s="83"/>
      <c r="H70" s="81"/>
      <c r="I70" s="81"/>
      <c r="J70" s="81"/>
      <c r="K70" s="81"/>
      <c r="L70" s="15"/>
    </row>
    <row r="71" spans="2:12" ht="13.5" thickBot="1">
      <c r="B71" s="84"/>
      <c r="C71" s="85" t="s">
        <v>33</v>
      </c>
      <c r="D71" s="86" t="s">
        <v>45</v>
      </c>
      <c r="E71" s="85"/>
      <c r="F71" s="85"/>
      <c r="G71" s="87"/>
      <c r="H71" s="85"/>
      <c r="I71" s="85"/>
      <c r="J71" s="85"/>
      <c r="K71" s="85"/>
      <c r="L71" s="88"/>
    </row>
    <row r="72" ht="13.5" thickTop="1">
      <c r="D72" s="89"/>
    </row>
  </sheetData>
  <sheetProtection password="CD50" sheet="1" objects="1" scenarios="1" insertColumns="0" insertRows="0"/>
  <mergeCells count="6">
    <mergeCell ref="J5:K5"/>
    <mergeCell ref="J6:K6"/>
    <mergeCell ref="C3:K3"/>
    <mergeCell ref="E7:F7"/>
    <mergeCell ref="C7:D7"/>
    <mergeCell ref="H7:I7"/>
  </mergeCells>
  <printOptions horizontalCentered="1"/>
  <pageMargins left="0.25" right="0.25" top="0.75" bottom="1" header="0" footer="0.5"/>
  <pageSetup fitToHeight="1" fitToWidth="1" horizontalDpi="300" verticalDpi="300" orientation="portrait" scale="75" r:id="rId2"/>
  <headerFooter alignWithMargins="0">
    <oddFooter>&amp;L&amp;"Arial,Bold"Moly-Cop Tools&amp;"Arial,Regular" / &amp;F / &amp;A&amp;R&amp;D   /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1"/>
  <sheetViews>
    <sheetView zoomScale="90" zoomScaleNormal="90" zoomScalePageLayoutView="0" workbookViewId="0" topLeftCell="A13">
      <selection activeCell="F24" sqref="F24:F42"/>
    </sheetView>
  </sheetViews>
  <sheetFormatPr defaultColWidth="9.140625" defaultRowHeight="12.75"/>
  <cols>
    <col min="1" max="2" width="1.7109375" style="1" customWidth="1"/>
    <col min="3" max="3" width="3.7109375" style="1" customWidth="1"/>
    <col min="4" max="4" width="8.7109375" style="1" customWidth="1"/>
    <col min="5" max="5" width="9.7109375" style="1" customWidth="1"/>
    <col min="6" max="8" width="8.7109375" style="1" customWidth="1"/>
    <col min="9" max="18" width="10.7109375" style="1" customWidth="1"/>
    <col min="19" max="19" width="1.7109375" style="1" customWidth="1"/>
    <col min="20" max="25" width="9.140625" style="1" customWidth="1"/>
    <col min="26" max="26" width="9.28125" style="1" bestFit="1" customWidth="1"/>
    <col min="27" max="28" width="9.140625" style="1" customWidth="1"/>
    <col min="29" max="29" width="13.57421875" style="1" bestFit="1" customWidth="1"/>
    <col min="30" max="16384" width="9.140625" style="1" customWidth="1"/>
  </cols>
  <sheetData>
    <row r="1" ht="7.5" customHeight="1" thickBot="1"/>
    <row r="2" spans="2:19" ht="24.75" customHeight="1" thickTop="1">
      <c r="B2" s="3"/>
      <c r="C2" s="4" t="s">
        <v>66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8"/>
    </row>
    <row r="3" spans="2:19" ht="12.75" customHeight="1">
      <c r="B3" s="12"/>
      <c r="C3" s="13"/>
      <c r="D3" s="13"/>
      <c r="E3" s="13"/>
      <c r="F3" s="132" t="s">
        <v>6</v>
      </c>
      <c r="G3" s="132"/>
      <c r="H3" s="132"/>
      <c r="I3" s="132"/>
      <c r="J3" s="132"/>
      <c r="K3" s="132"/>
      <c r="L3" s="132"/>
      <c r="M3" s="132"/>
      <c r="N3" s="132"/>
      <c r="O3" s="132"/>
      <c r="P3" s="14"/>
      <c r="Q3" s="13"/>
      <c r="R3" s="13"/>
      <c r="S3" s="15"/>
    </row>
    <row r="4" spans="2:19" ht="12.75" customHeight="1">
      <c r="B4" s="12"/>
      <c r="C4" s="13"/>
      <c r="D4" s="13"/>
      <c r="E4" s="13"/>
      <c r="F4" s="132" t="s">
        <v>48</v>
      </c>
      <c r="G4" s="132"/>
      <c r="H4" s="132"/>
      <c r="I4" s="132"/>
      <c r="J4" s="132"/>
      <c r="K4" s="132"/>
      <c r="L4" s="132"/>
      <c r="M4" s="132"/>
      <c r="N4" s="132"/>
      <c r="O4" s="132"/>
      <c r="P4" s="14"/>
      <c r="Q4" s="13"/>
      <c r="R4" s="13"/>
      <c r="S4" s="15"/>
    </row>
    <row r="5" spans="2:19" ht="12.75" customHeight="1">
      <c r="B5" s="12"/>
      <c r="C5" s="13"/>
      <c r="D5" s="13"/>
      <c r="E5" s="13"/>
      <c r="F5" s="90"/>
      <c r="G5" s="90"/>
      <c r="H5" s="90"/>
      <c r="I5" s="90"/>
      <c r="J5" s="90"/>
      <c r="K5" s="90"/>
      <c r="L5" s="90"/>
      <c r="M5" s="90"/>
      <c r="N5" s="90"/>
      <c r="O5" s="90"/>
      <c r="P5" s="14"/>
      <c r="Q5" s="13"/>
      <c r="R5" s="13"/>
      <c r="S5" s="15"/>
    </row>
    <row r="6" spans="2:19" ht="12.75" customHeight="1">
      <c r="B6" s="12"/>
      <c r="C6" s="13"/>
      <c r="D6" s="91"/>
      <c r="E6" s="92" t="s">
        <v>60</v>
      </c>
      <c r="F6" s="133"/>
      <c r="G6" s="134"/>
      <c r="H6" s="134"/>
      <c r="I6" s="134"/>
      <c r="J6" s="134"/>
      <c r="K6" s="134"/>
      <c r="L6" s="134"/>
      <c r="M6" s="134"/>
      <c r="N6" s="134"/>
      <c r="O6" s="135"/>
      <c r="P6" s="13"/>
      <c r="Q6" s="13"/>
      <c r="R6" s="13"/>
      <c r="S6" s="15"/>
    </row>
    <row r="7" spans="2:19" ht="12.75" customHeight="1">
      <c r="B7" s="12"/>
      <c r="C7" s="13"/>
      <c r="D7" s="13"/>
      <c r="E7" s="13"/>
      <c r="F7" s="136"/>
      <c r="G7" s="137"/>
      <c r="H7" s="137"/>
      <c r="I7" s="137"/>
      <c r="J7" s="137"/>
      <c r="K7" s="137"/>
      <c r="L7" s="137"/>
      <c r="M7" s="137"/>
      <c r="N7" s="137"/>
      <c r="O7" s="138"/>
      <c r="P7" s="13"/>
      <c r="Q7" s="13"/>
      <c r="R7" s="13"/>
      <c r="S7" s="15"/>
    </row>
    <row r="8" spans="2:19" ht="12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2:19" ht="12.75">
      <c r="B9" s="12"/>
      <c r="C9" s="13"/>
      <c r="D9" s="93" t="s">
        <v>49</v>
      </c>
      <c r="E9" s="13"/>
      <c r="F9" s="13"/>
      <c r="G9" s="13"/>
      <c r="H9" s="13"/>
      <c r="I9" s="94">
        <v>12.640424591386122</v>
      </c>
      <c r="J9" s="13"/>
      <c r="K9" s="139" t="s">
        <v>52</v>
      </c>
      <c r="L9" s="139"/>
      <c r="M9" s="139"/>
      <c r="N9" s="139"/>
      <c r="O9" s="139"/>
      <c r="P9" s="139"/>
      <c r="Q9" s="13"/>
      <c r="R9" s="13"/>
      <c r="S9" s="15"/>
    </row>
    <row r="10" spans="2:19" ht="15">
      <c r="B10" s="12"/>
      <c r="C10" s="13"/>
      <c r="D10" s="93" t="s">
        <v>62</v>
      </c>
      <c r="E10" s="13"/>
      <c r="F10" s="13"/>
      <c r="G10" s="13"/>
      <c r="H10" s="13"/>
      <c r="I10" s="95">
        <v>2624.348843948816</v>
      </c>
      <c r="J10" s="13"/>
      <c r="K10" s="96" t="s">
        <v>63</v>
      </c>
      <c r="L10" s="97"/>
      <c r="M10" s="97"/>
      <c r="N10" s="97"/>
      <c r="O10" s="97"/>
      <c r="P10" s="97"/>
      <c r="Q10" s="98"/>
      <c r="R10" s="13"/>
      <c r="S10" s="15"/>
    </row>
    <row r="11" spans="2:19" ht="15">
      <c r="B11" s="12"/>
      <c r="C11" s="13"/>
      <c r="D11" s="93" t="s">
        <v>50</v>
      </c>
      <c r="E11" s="13"/>
      <c r="F11" s="13"/>
      <c r="G11" s="13"/>
      <c r="H11" s="13"/>
      <c r="I11" s="94">
        <v>0.7654468663724757</v>
      </c>
      <c r="J11" s="13"/>
      <c r="K11" s="99" t="s">
        <v>65</v>
      </c>
      <c r="L11" s="100"/>
      <c r="M11" s="100"/>
      <c r="N11" s="100"/>
      <c r="O11" s="100"/>
      <c r="P11" s="100"/>
      <c r="Q11" s="101"/>
      <c r="R11" s="13"/>
      <c r="S11" s="15"/>
    </row>
    <row r="12" spans="2:19" ht="12.75">
      <c r="B12" s="12"/>
      <c r="C12" s="13"/>
      <c r="D12" s="93" t="s">
        <v>51</v>
      </c>
      <c r="E12" s="13"/>
      <c r="F12" s="13"/>
      <c r="G12" s="13"/>
      <c r="H12" s="13"/>
      <c r="I12" s="94">
        <v>0.7892129364513529</v>
      </c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2:19" ht="12.75">
      <c r="B13" s="12"/>
      <c r="C13" s="13"/>
      <c r="D13" s="93"/>
      <c r="E13" s="13"/>
      <c r="F13" s="13"/>
      <c r="G13" s="13"/>
      <c r="H13" s="13"/>
      <c r="I13" s="13"/>
      <c r="J13" s="13"/>
      <c r="K13" s="140" t="s">
        <v>67</v>
      </c>
      <c r="L13" s="141"/>
      <c r="M13" s="141"/>
      <c r="N13" s="141"/>
      <c r="O13" s="141"/>
      <c r="P13" s="141"/>
      <c r="Q13" s="142"/>
      <c r="R13" s="13"/>
      <c r="S13" s="15"/>
    </row>
    <row r="14" spans="2:29" ht="13.5" thickBot="1">
      <c r="B14" s="12"/>
      <c r="C14" s="13"/>
      <c r="D14" s="9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  <c r="Z14" s="102"/>
      <c r="AA14" s="102"/>
      <c r="AB14" s="102"/>
      <c r="AC14" s="102"/>
    </row>
    <row r="15" spans="2:29" ht="12.75">
      <c r="B15" s="12"/>
      <c r="C15" s="103"/>
      <c r="D15" s="104" t="s">
        <v>1</v>
      </c>
      <c r="E15" s="104" t="s">
        <v>1</v>
      </c>
      <c r="F15" s="130" t="s">
        <v>55</v>
      </c>
      <c r="G15" s="131"/>
      <c r="H15" s="10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Z15" s="102"/>
      <c r="AA15" s="102"/>
      <c r="AB15" s="102"/>
      <c r="AC15" s="102"/>
    </row>
    <row r="16" spans="2:29" ht="13.5" thickBot="1">
      <c r="B16" s="12"/>
      <c r="C16" s="106" t="s">
        <v>0</v>
      </c>
      <c r="D16" s="107" t="s">
        <v>3</v>
      </c>
      <c r="E16" s="107" t="s">
        <v>2</v>
      </c>
      <c r="F16" s="108" t="s">
        <v>53</v>
      </c>
      <c r="G16" s="109" t="s">
        <v>54</v>
      </c>
      <c r="H16" s="10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  <c r="Z16" s="102" t="s">
        <v>4</v>
      </c>
      <c r="AA16" s="102"/>
      <c r="AB16" s="102"/>
      <c r="AC16" s="110" t="s">
        <v>61</v>
      </c>
    </row>
    <row r="17" spans="2:29" ht="13.5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Z17" s="102"/>
      <c r="AA17" s="102"/>
      <c r="AB17" s="102"/>
      <c r="AC17" s="102"/>
    </row>
    <row r="18" spans="2:29" ht="12.75">
      <c r="B18" s="12"/>
      <c r="C18" s="111">
        <v>1</v>
      </c>
      <c r="D18" t="s">
        <v>64</v>
      </c>
      <c r="E18">
        <v>101600</v>
      </c>
      <c r="F18" s="120">
        <v>100</v>
      </c>
      <c r="G18" s="121">
        <v>100</v>
      </c>
      <c r="H18" s="10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Z18" s="102">
        <f aca="true" t="shared" si="0" ref="Z18:Z42">IF(G18&gt;50,IF(G19&lt;50,$E19*EXP(LN(50/G19)*LN($E18/$E19)/LN(G18/G19)),0),0)</f>
        <v>0</v>
      </c>
      <c r="AA18" s="102"/>
      <c r="AB18" s="102"/>
      <c r="AC18" s="102">
        <f>((F18-G18)/F18)^2</f>
        <v>0</v>
      </c>
    </row>
    <row r="19" spans="2:29" ht="12.75">
      <c r="B19" s="12"/>
      <c r="C19" s="112">
        <f aca="true" t="shared" si="1" ref="C19:C36">C18+1</f>
        <v>2</v>
      </c>
      <c r="D19" t="s">
        <v>69</v>
      </c>
      <c r="E19">
        <v>76200</v>
      </c>
      <c r="F19" s="129">
        <v>100</v>
      </c>
      <c r="G19" s="122">
        <f aca="true" t="shared" si="2" ref="G19:G42">($I$9*(1-EXP(LN(0.2)*(E19/$I$10)^$I$11))+(1-$I$9)*(1-EXP(LN(0.2)*(E19/$I$10)^$I$12)))*100</f>
        <v>99.99999934304799</v>
      </c>
      <c r="H19" s="10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Z19" s="102">
        <f t="shared" si="0"/>
        <v>0</v>
      </c>
      <c r="AA19" s="102"/>
      <c r="AB19" s="102"/>
      <c r="AC19" s="102">
        <f>IF(F19&gt;0,((F19-G19)/F19)^2,0)</f>
        <v>4.3158594477447864E-17</v>
      </c>
    </row>
    <row r="20" spans="2:29" ht="12.75">
      <c r="B20" s="12"/>
      <c r="C20" s="112">
        <f t="shared" si="1"/>
        <v>3</v>
      </c>
      <c r="D20" t="s">
        <v>68</v>
      </c>
      <c r="E20">
        <v>50800</v>
      </c>
      <c r="F20" s="129">
        <v>100</v>
      </c>
      <c r="G20" s="122">
        <f t="shared" si="2"/>
        <v>99.99984271886149</v>
      </c>
      <c r="H20" s="10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Z20" s="102">
        <f t="shared" si="0"/>
        <v>0</v>
      </c>
      <c r="AA20" s="102"/>
      <c r="AB20" s="102"/>
      <c r="AC20" s="102">
        <f aca="true" t="shared" si="3" ref="AC20:AC42">IF(F20&gt;0,((F20-G20)/F20)^2,0)</f>
        <v>2.473735653197663E-12</v>
      </c>
    </row>
    <row r="21" spans="2:29" ht="12.75">
      <c r="B21" s="12"/>
      <c r="C21" s="112">
        <f t="shared" si="1"/>
        <v>4</v>
      </c>
      <c r="D21" t="s">
        <v>75</v>
      </c>
      <c r="E21">
        <v>38000</v>
      </c>
      <c r="F21" s="129">
        <v>100</v>
      </c>
      <c r="G21" s="122">
        <f t="shared" si="2"/>
        <v>99.99706395826831</v>
      </c>
      <c r="H21" s="10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Z21" s="102">
        <f t="shared" si="0"/>
        <v>0</v>
      </c>
      <c r="AA21" s="102"/>
      <c r="AB21" s="102"/>
      <c r="AC21" s="102">
        <f t="shared" si="3"/>
        <v>8.620341050205251E-10</v>
      </c>
    </row>
    <row r="22" spans="2:29" ht="12.75">
      <c r="B22" s="12"/>
      <c r="C22" s="112">
        <f t="shared" si="1"/>
        <v>5</v>
      </c>
      <c r="D22" t="s">
        <v>74</v>
      </c>
      <c r="E22">
        <v>25000</v>
      </c>
      <c r="F22" s="129">
        <v>100</v>
      </c>
      <c r="G22" s="122">
        <f t="shared" si="2"/>
        <v>99.93381175873104</v>
      </c>
      <c r="H22" s="10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Z22" s="102">
        <f t="shared" si="0"/>
        <v>0</v>
      </c>
      <c r="AA22" s="102"/>
      <c r="AB22" s="102"/>
      <c r="AC22" s="102">
        <f t="shared" si="3"/>
        <v>4.3808832822781554E-07</v>
      </c>
    </row>
    <row r="23" spans="2:29" ht="12.75">
      <c r="B23" s="12"/>
      <c r="C23" s="112">
        <f t="shared" si="1"/>
        <v>6</v>
      </c>
      <c r="D23" s="152" t="s">
        <v>70</v>
      </c>
      <c r="E23" s="153">
        <v>19050</v>
      </c>
      <c r="F23" s="129">
        <v>100</v>
      </c>
      <c r="G23" s="122">
        <f t="shared" si="2"/>
        <v>99.70951376672588</v>
      </c>
      <c r="H23" s="10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Z23" s="102">
        <f t="shared" si="0"/>
        <v>0</v>
      </c>
      <c r="AA23" s="102"/>
      <c r="AB23" s="102"/>
      <c r="AC23" s="102">
        <f t="shared" si="3"/>
        <v>8.43822517217883E-06</v>
      </c>
    </row>
    <row r="24" spans="2:29" ht="12.75">
      <c r="B24" s="12"/>
      <c r="C24" s="112">
        <f t="shared" si="1"/>
        <v>7</v>
      </c>
      <c r="D24" s="152" t="s">
        <v>71</v>
      </c>
      <c r="E24" s="153">
        <v>12700</v>
      </c>
      <c r="F24" s="155">
        <v>98.48577680525165</v>
      </c>
      <c r="G24" s="128">
        <f t="shared" si="2"/>
        <v>98.54404907316567</v>
      </c>
      <c r="H24" s="10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Z24" s="102">
        <f t="shared" si="0"/>
        <v>0</v>
      </c>
      <c r="AA24" s="102"/>
      <c r="AB24" s="102"/>
      <c r="AC24" s="102">
        <f t="shared" si="3"/>
        <v>3.5008766749366625E-07</v>
      </c>
    </row>
    <row r="25" spans="2:29" ht="12.75">
      <c r="B25" s="12"/>
      <c r="C25" s="112">
        <f t="shared" si="1"/>
        <v>8</v>
      </c>
      <c r="D25" s="152" t="s">
        <v>73</v>
      </c>
      <c r="E25" s="153">
        <v>9500</v>
      </c>
      <c r="F25" s="155">
        <v>96.18380743982495</v>
      </c>
      <c r="G25" s="128">
        <f t="shared" si="2"/>
        <v>96.69400949351558</v>
      </c>
      <c r="H25" s="10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Z25" s="102">
        <f t="shared" si="0"/>
        <v>0</v>
      </c>
      <c r="AA25" s="102"/>
      <c r="AB25" s="102"/>
      <c r="AC25" s="102">
        <f t="shared" si="3"/>
        <v>2.8137173954467013E-05</v>
      </c>
    </row>
    <row r="26" spans="2:29" ht="12.75">
      <c r="B26" s="12"/>
      <c r="C26" s="112">
        <f t="shared" si="1"/>
        <v>9</v>
      </c>
      <c r="D26" s="152" t="s">
        <v>72</v>
      </c>
      <c r="E26" s="153">
        <v>6350</v>
      </c>
      <c r="F26" s="155">
        <v>91.8293216630197</v>
      </c>
      <c r="G26" s="128">
        <f t="shared" si="2"/>
        <v>92.5883855231069</v>
      </c>
      <c r="H26" s="10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Z26" s="102">
        <f t="shared" si="0"/>
        <v>0</v>
      </c>
      <c r="AA26" s="102"/>
      <c r="AB26" s="102"/>
      <c r="AC26" s="102">
        <f t="shared" si="3"/>
        <v>6.832723978023516E-05</v>
      </c>
    </row>
    <row r="27" spans="2:29" ht="12.75">
      <c r="B27" s="12"/>
      <c r="C27" s="112">
        <f t="shared" si="1"/>
        <v>10</v>
      </c>
      <c r="D27" s="153">
        <v>4</v>
      </c>
      <c r="E27" s="153">
        <v>4750</v>
      </c>
      <c r="F27" s="155">
        <v>88.71772428884026</v>
      </c>
      <c r="G27" s="128">
        <f t="shared" si="2"/>
        <v>88.80751227695995</v>
      </c>
      <c r="H27" s="10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Z27" s="102">
        <f t="shared" si="0"/>
        <v>0</v>
      </c>
      <c r="AA27" s="102"/>
      <c r="AB27" s="102"/>
      <c r="AC27" s="102">
        <f t="shared" si="3"/>
        <v>1.0242729287589584E-06</v>
      </c>
    </row>
    <row r="28" spans="2:29" ht="12.75">
      <c r="B28" s="12"/>
      <c r="C28" s="112">
        <f t="shared" si="1"/>
        <v>11</v>
      </c>
      <c r="D28" s="153">
        <v>6</v>
      </c>
      <c r="E28" s="153">
        <v>3350</v>
      </c>
      <c r="F28" s="155">
        <v>84.08315098468272</v>
      </c>
      <c r="G28" s="128">
        <f t="shared" si="2"/>
        <v>83.7537989475278</v>
      </c>
      <c r="H28" s="10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Z28" s="102">
        <f t="shared" si="0"/>
        <v>0</v>
      </c>
      <c r="AA28" s="102"/>
      <c r="AB28" s="102"/>
      <c r="AC28" s="102">
        <f t="shared" si="3"/>
        <v>1.53427338493939E-05</v>
      </c>
    </row>
    <row r="29" spans="2:29" ht="12.75">
      <c r="B29" s="12"/>
      <c r="C29" s="112">
        <f t="shared" si="1"/>
        <v>12</v>
      </c>
      <c r="D29" s="153">
        <v>8</v>
      </c>
      <c r="E29" s="153">
        <v>2360</v>
      </c>
      <c r="F29" s="155">
        <v>78.84901531728666</v>
      </c>
      <c r="G29" s="128">
        <f t="shared" si="2"/>
        <v>78.31184081242029</v>
      </c>
      <c r="H29" s="10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  <c r="Z29" s="102">
        <f t="shared" si="0"/>
        <v>0</v>
      </c>
      <c r="AA29" s="102"/>
      <c r="AB29" s="102"/>
      <c r="AC29" s="102">
        <f t="shared" si="3"/>
        <v>4.641284987676609E-05</v>
      </c>
    </row>
    <row r="30" spans="2:29" ht="12.75">
      <c r="B30" s="12"/>
      <c r="C30" s="112">
        <f t="shared" si="1"/>
        <v>13</v>
      </c>
      <c r="D30" s="153">
        <v>10</v>
      </c>
      <c r="E30" s="153">
        <v>1700</v>
      </c>
      <c r="F30" s="155">
        <v>73.13347921225383</v>
      </c>
      <c r="G30" s="128">
        <f t="shared" si="2"/>
        <v>72.84818998767734</v>
      </c>
      <c r="H30" s="10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Z30" s="102">
        <f t="shared" si="0"/>
        <v>0</v>
      </c>
      <c r="AA30" s="102"/>
      <c r="AB30" s="102"/>
      <c r="AC30" s="102">
        <f t="shared" si="3"/>
        <v>1.5217323301415431E-05</v>
      </c>
    </row>
    <row r="31" spans="2:29" ht="12.75">
      <c r="B31" s="12"/>
      <c r="C31" s="112">
        <f t="shared" si="1"/>
        <v>14</v>
      </c>
      <c r="D31" s="153">
        <v>14</v>
      </c>
      <c r="E31" s="153">
        <v>1180</v>
      </c>
      <c r="F31" s="155">
        <v>66.41575492341357</v>
      </c>
      <c r="G31" s="128">
        <f t="shared" si="2"/>
        <v>66.27873685240021</v>
      </c>
      <c r="H31" s="10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  <c r="Z31" s="102">
        <f t="shared" si="0"/>
        <v>0</v>
      </c>
      <c r="AA31" s="102"/>
      <c r="AB31" s="102"/>
      <c r="AC31" s="102">
        <f t="shared" si="3"/>
        <v>4.256116148132372E-06</v>
      </c>
    </row>
    <row r="32" spans="2:29" ht="12.75">
      <c r="B32" s="12"/>
      <c r="C32" s="112">
        <f t="shared" si="1"/>
        <v>15</v>
      </c>
      <c r="D32" s="153">
        <v>20</v>
      </c>
      <c r="E32" s="153">
        <v>850</v>
      </c>
      <c r="F32" s="155">
        <v>60.0875273522976</v>
      </c>
      <c r="G32" s="128">
        <f t="shared" si="2"/>
        <v>59.98330856512748</v>
      </c>
      <c r="H32" s="10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Z32" s="102">
        <f t="shared" si="0"/>
        <v>0</v>
      </c>
      <c r="AA32" s="102"/>
      <c r="AB32" s="102"/>
      <c r="AC32" s="102">
        <f t="shared" si="3"/>
        <v>3.008315379663032E-06</v>
      </c>
    </row>
    <row r="33" spans="2:29" ht="12.75">
      <c r="B33" s="12"/>
      <c r="C33" s="112">
        <f t="shared" si="1"/>
        <v>16</v>
      </c>
      <c r="D33" s="153">
        <v>28</v>
      </c>
      <c r="E33" s="153">
        <v>600</v>
      </c>
      <c r="F33" s="155">
        <v>52.63</v>
      </c>
      <c r="G33" s="128">
        <f t="shared" si="2"/>
        <v>53.07178334315399</v>
      </c>
      <c r="H33" s="10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5"/>
      <c r="Z33" s="102">
        <f t="shared" si="0"/>
        <v>516.7103083865408</v>
      </c>
      <c r="AA33" s="102"/>
      <c r="AB33" s="102"/>
      <c r="AC33" s="102">
        <f t="shared" si="3"/>
        <v>7.046150817315589E-05</v>
      </c>
    </row>
    <row r="34" spans="2:29" ht="12.75">
      <c r="B34" s="12"/>
      <c r="C34" s="112">
        <f t="shared" si="1"/>
        <v>17</v>
      </c>
      <c r="D34" s="153">
        <v>35</v>
      </c>
      <c r="E34" s="153">
        <v>425</v>
      </c>
      <c r="F34" s="155">
        <v>45.92997811816193</v>
      </c>
      <c r="G34" s="128">
        <f t="shared" si="2"/>
        <v>46.250411007982215</v>
      </c>
      <c r="H34" s="10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5"/>
      <c r="Z34" s="102">
        <f t="shared" si="0"/>
        <v>0</v>
      </c>
      <c r="AA34" s="102"/>
      <c r="AB34" s="102"/>
      <c r="AC34" s="102">
        <f t="shared" si="3"/>
        <v>4.867228057929725E-05</v>
      </c>
    </row>
    <row r="35" spans="2:29" ht="12.75">
      <c r="B35" s="12"/>
      <c r="C35" s="112">
        <f t="shared" si="1"/>
        <v>18</v>
      </c>
      <c r="D35" s="153">
        <v>48</v>
      </c>
      <c r="E35" s="153">
        <v>300</v>
      </c>
      <c r="F35" s="155">
        <v>39.286652078774615</v>
      </c>
      <c r="G35" s="128">
        <f t="shared" si="2"/>
        <v>39.63894003779438</v>
      </c>
      <c r="H35" s="10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5"/>
      <c r="Z35" s="102">
        <f t="shared" si="0"/>
        <v>0</v>
      </c>
      <c r="AA35" s="102"/>
      <c r="AB35" s="102"/>
      <c r="AC35" s="102">
        <f t="shared" si="3"/>
        <v>8.04091659692219E-05</v>
      </c>
    </row>
    <row r="36" spans="2:29" ht="12.75">
      <c r="B36" s="12"/>
      <c r="C36" s="112">
        <f t="shared" si="1"/>
        <v>19</v>
      </c>
      <c r="D36" s="153">
        <v>65</v>
      </c>
      <c r="E36" s="153">
        <v>212</v>
      </c>
      <c r="F36" s="155">
        <v>33.28665207877461</v>
      </c>
      <c r="G36" s="128">
        <f t="shared" si="2"/>
        <v>33.53001451356206</v>
      </c>
      <c r="H36" s="10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5"/>
      <c r="Z36" s="102">
        <f>IF(G36&gt;50,IF(G42&lt;50,$E42*EXP(LN(50/G42)*LN($E36/$E42)/LN(G36/G42)),0),0)</f>
        <v>0</v>
      </c>
      <c r="AA36" s="102"/>
      <c r="AB36" s="102"/>
      <c r="AC36" s="102">
        <f t="shared" si="3"/>
        <v>5.34523557485087E-05</v>
      </c>
    </row>
    <row r="37" spans="2:29" ht="12.75">
      <c r="B37" s="12"/>
      <c r="C37" s="112">
        <f aca="true" t="shared" si="4" ref="C37:C42">C36+1</f>
        <v>20</v>
      </c>
      <c r="D37" s="153">
        <v>100</v>
      </c>
      <c r="E37" s="153">
        <v>150</v>
      </c>
      <c r="F37" s="155">
        <v>28.46389496717724</v>
      </c>
      <c r="G37" s="128">
        <f t="shared" si="2"/>
        <v>28.04967389145809</v>
      </c>
      <c r="H37" s="10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5"/>
      <c r="Z37" s="102"/>
      <c r="AA37" s="102"/>
      <c r="AB37" s="102"/>
      <c r="AC37" s="102">
        <f t="shared" si="3"/>
        <v>0.0002117755059598099</v>
      </c>
    </row>
    <row r="38" spans="2:29" ht="12.75">
      <c r="B38" s="12"/>
      <c r="C38" s="112">
        <f t="shared" si="4"/>
        <v>21</v>
      </c>
      <c r="D38" s="153">
        <v>150</v>
      </c>
      <c r="E38" s="153">
        <v>106</v>
      </c>
      <c r="F38" s="155">
        <v>23.7417943107221</v>
      </c>
      <c r="G38" s="128">
        <f t="shared" si="2"/>
        <v>23.216974612193297</v>
      </c>
      <c r="H38" s="10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5"/>
      <c r="Z38" s="102"/>
      <c r="AA38" s="102"/>
      <c r="AB38" s="102"/>
      <c r="AC38" s="102">
        <f t="shared" si="3"/>
        <v>0.0004886446842645774</v>
      </c>
    </row>
    <row r="39" spans="2:29" ht="12.75">
      <c r="B39" s="12"/>
      <c r="C39" s="112">
        <f t="shared" si="4"/>
        <v>22</v>
      </c>
      <c r="D39" s="153">
        <v>200</v>
      </c>
      <c r="E39" s="153">
        <v>75</v>
      </c>
      <c r="F39" s="155">
        <v>19.304157549234134</v>
      </c>
      <c r="G39" s="128">
        <f t="shared" si="2"/>
        <v>19.069404928831002</v>
      </c>
      <c r="H39" s="10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5"/>
      <c r="Z39" s="102"/>
      <c r="AA39" s="102"/>
      <c r="AB39" s="102"/>
      <c r="AC39" s="102">
        <f t="shared" si="3"/>
        <v>0.00014788331957291587</v>
      </c>
    </row>
    <row r="40" spans="2:29" ht="12.75">
      <c r="B40" s="12"/>
      <c r="C40" s="112">
        <f t="shared" si="4"/>
        <v>23</v>
      </c>
      <c r="D40" s="153">
        <v>270</v>
      </c>
      <c r="E40" s="153">
        <v>53</v>
      </c>
      <c r="F40" s="155">
        <v>15.356673960612696</v>
      </c>
      <c r="G40" s="128">
        <f t="shared" si="2"/>
        <v>15.541754620819736</v>
      </c>
      <c r="H40" s="10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  <c r="Z40" s="102"/>
      <c r="AA40" s="102"/>
      <c r="AB40" s="102"/>
      <c r="AC40" s="102">
        <f t="shared" si="3"/>
        <v>0.00014525388347381657</v>
      </c>
    </row>
    <row r="41" spans="2:29" ht="12.75">
      <c r="B41" s="12"/>
      <c r="C41" s="112">
        <f t="shared" si="4"/>
        <v>24</v>
      </c>
      <c r="D41" s="153">
        <v>325</v>
      </c>
      <c r="E41" s="153">
        <v>44</v>
      </c>
      <c r="F41" s="155">
        <v>13.654266958424515</v>
      </c>
      <c r="G41" s="128">
        <f t="shared" si="2"/>
        <v>13.893060468109041</v>
      </c>
      <c r="H41" s="10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5"/>
      <c r="Z41" s="102"/>
      <c r="AA41" s="102"/>
      <c r="AB41" s="102"/>
      <c r="AC41" s="102">
        <f t="shared" si="3"/>
        <v>0.0003058498403218876</v>
      </c>
    </row>
    <row r="42" spans="2:29" ht="12.75">
      <c r="B42" s="12"/>
      <c r="C42" s="112">
        <f t="shared" si="4"/>
        <v>25</v>
      </c>
      <c r="D42" s="153">
        <v>400</v>
      </c>
      <c r="E42" s="154">
        <v>37</v>
      </c>
      <c r="F42" s="155">
        <v>12.56</v>
      </c>
      <c r="G42" s="128">
        <f t="shared" si="2"/>
        <v>12.498317064084741</v>
      </c>
      <c r="H42" s="10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5"/>
      <c r="Z42" s="102">
        <f t="shared" si="0"/>
        <v>0</v>
      </c>
      <c r="AA42" s="102"/>
      <c r="AB42" s="102"/>
      <c r="AC42" s="102">
        <f t="shared" si="3"/>
        <v>2.4118527774491267E-05</v>
      </c>
    </row>
    <row r="43" spans="2:29" ht="13.5" thickBot="1">
      <c r="B43" s="12"/>
      <c r="C43" s="113">
        <v>26</v>
      </c>
      <c r="D43" s="124">
        <f>-D42</f>
        <v>-400</v>
      </c>
      <c r="E43" s="125">
        <v>0</v>
      </c>
      <c r="F43"/>
      <c r="G43" s="123"/>
      <c r="H43" s="10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  <c r="Z43" s="102"/>
      <c r="AA43" s="102"/>
      <c r="AB43" s="102"/>
      <c r="AC43" s="102"/>
    </row>
    <row r="44" spans="2:29" ht="13.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5"/>
      <c r="Z44" s="102">
        <f>SUM(Z18:Z42)</f>
        <v>516.7103083865408</v>
      </c>
      <c r="AA44" s="102"/>
      <c r="AB44" s="102"/>
      <c r="AC44" s="102">
        <f>SUM(AC18:AC42)/25</f>
        <v>7.069897450929194E-05</v>
      </c>
    </row>
    <row r="45" spans="2:29" ht="15" thickBot="1">
      <c r="B45" s="12"/>
      <c r="C45" s="93" t="s">
        <v>56</v>
      </c>
      <c r="D45" s="93"/>
      <c r="E45" s="13"/>
      <c r="F45" s="13"/>
      <c r="G45" s="114">
        <f>100*AC44^0.5</f>
        <v>0.8408268222963153</v>
      </c>
      <c r="H45" s="13"/>
      <c r="I45" s="115" t="s">
        <v>57</v>
      </c>
      <c r="J45" s="126">
        <f>I10</f>
        <v>2624.348843948816</v>
      </c>
      <c r="K45" s="116" t="s">
        <v>5</v>
      </c>
      <c r="L45" s="115" t="s">
        <v>58</v>
      </c>
      <c r="M45" s="126">
        <f>Z44</f>
        <v>516.7103083865408</v>
      </c>
      <c r="N45" s="116" t="s">
        <v>5</v>
      </c>
      <c r="O45" s="115" t="s">
        <v>59</v>
      </c>
      <c r="P45" s="127">
        <f>J45/M45</f>
        <v>5.078955850800624</v>
      </c>
      <c r="Q45" s="13"/>
      <c r="R45" s="13"/>
      <c r="S45" s="15"/>
      <c r="Z45" s="102"/>
      <c r="AA45" s="102"/>
      <c r="AB45" s="102"/>
      <c r="AC45" s="102"/>
    </row>
    <row r="46" spans="2:19" ht="7.5" customHeight="1" thickBot="1">
      <c r="B46" s="8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88"/>
    </row>
    <row r="47" ht="13.5" thickTop="1"/>
    <row r="50" spans="3:6" ht="12.75">
      <c r="C50" s="118">
        <v>10</v>
      </c>
      <c r="D50" s="119">
        <f>J45</f>
        <v>2624.348843948816</v>
      </c>
      <c r="E50" s="119">
        <f>J45</f>
        <v>2624.348843948816</v>
      </c>
      <c r="F50" s="119">
        <f>E50</f>
        <v>2624.348843948816</v>
      </c>
    </row>
    <row r="51" spans="3:6" ht="12.75">
      <c r="C51" s="118">
        <v>80</v>
      </c>
      <c r="D51" s="118">
        <v>80</v>
      </c>
      <c r="E51" s="118">
        <v>1</v>
      </c>
      <c r="F51" s="118">
        <v>80</v>
      </c>
    </row>
  </sheetData>
  <sheetProtection insertColumns="0" insertRows="0"/>
  <mergeCells count="7">
    <mergeCell ref="F15:G15"/>
    <mergeCell ref="F3:O3"/>
    <mergeCell ref="F6:O6"/>
    <mergeCell ref="F4:O4"/>
    <mergeCell ref="F7:O7"/>
    <mergeCell ref="K9:P9"/>
    <mergeCell ref="K13:Q13"/>
  </mergeCells>
  <printOptions horizontalCentered="1" verticalCentered="1"/>
  <pageMargins left="0.25" right="0.25" top="1" bottom="1.5" header="0" footer="0.5"/>
  <pageSetup fitToHeight="1" fitToWidth="1" horizontalDpi="300" verticalDpi="300" orientation="landscape" pageOrder="overThenDown" scale="71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1"/>
  <sheetViews>
    <sheetView tabSelected="1" zoomScale="90" zoomScaleNormal="90" zoomScalePageLayoutView="0" workbookViewId="0" topLeftCell="A14">
      <selection activeCell="F25" sqref="F25:F43"/>
    </sheetView>
  </sheetViews>
  <sheetFormatPr defaultColWidth="9.140625" defaultRowHeight="12.75"/>
  <cols>
    <col min="1" max="2" width="1.7109375" style="1" customWidth="1"/>
    <col min="3" max="3" width="3.7109375" style="1" customWidth="1"/>
    <col min="4" max="4" width="8.7109375" style="1" customWidth="1"/>
    <col min="5" max="5" width="9.7109375" style="1" customWidth="1"/>
    <col min="6" max="8" width="8.7109375" style="1" customWidth="1"/>
    <col min="9" max="18" width="10.7109375" style="1" customWidth="1"/>
    <col min="19" max="19" width="1.7109375" style="1" customWidth="1"/>
    <col min="20" max="25" width="9.140625" style="1" customWidth="1"/>
    <col min="26" max="26" width="9.28125" style="1" bestFit="1" customWidth="1"/>
    <col min="27" max="28" width="9.140625" style="1" customWidth="1"/>
    <col min="29" max="29" width="13.57421875" style="1" bestFit="1" customWidth="1"/>
    <col min="30" max="16384" width="9.140625" style="1" customWidth="1"/>
  </cols>
  <sheetData>
    <row r="1" ht="7.5" customHeight="1" thickBot="1"/>
    <row r="2" spans="2:19" ht="24.75" customHeight="1" thickTop="1">
      <c r="B2" s="3"/>
      <c r="C2" s="4" t="s">
        <v>66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8"/>
    </row>
    <row r="3" spans="2:19" ht="12.75" customHeight="1">
      <c r="B3" s="12"/>
      <c r="C3" s="13"/>
      <c r="D3" s="13"/>
      <c r="E3" s="13"/>
      <c r="F3" s="132" t="s">
        <v>6</v>
      </c>
      <c r="G3" s="132"/>
      <c r="H3" s="132"/>
      <c r="I3" s="132"/>
      <c r="J3" s="132"/>
      <c r="K3" s="132"/>
      <c r="L3" s="132"/>
      <c r="M3" s="132"/>
      <c r="N3" s="132"/>
      <c r="O3" s="132"/>
      <c r="P3" s="14"/>
      <c r="Q3" s="13"/>
      <c r="R3" s="13"/>
      <c r="S3" s="15"/>
    </row>
    <row r="4" spans="2:19" ht="12.75" customHeight="1">
      <c r="B4" s="12"/>
      <c r="C4" s="13"/>
      <c r="D4" s="13"/>
      <c r="E4" s="13"/>
      <c r="F4" s="132" t="s">
        <v>48</v>
      </c>
      <c r="G4" s="132"/>
      <c r="H4" s="132"/>
      <c r="I4" s="132"/>
      <c r="J4" s="132"/>
      <c r="K4" s="132"/>
      <c r="L4" s="132"/>
      <c r="M4" s="132"/>
      <c r="N4" s="132"/>
      <c r="O4" s="132"/>
      <c r="P4" s="14"/>
      <c r="Q4" s="13"/>
      <c r="R4" s="13"/>
      <c r="S4" s="15"/>
    </row>
    <row r="5" spans="2:19" ht="12.75" customHeight="1">
      <c r="B5" s="12"/>
      <c r="C5" s="13"/>
      <c r="D5" s="13"/>
      <c r="E5" s="13"/>
      <c r="F5" s="90"/>
      <c r="G5" s="90"/>
      <c r="H5" s="90"/>
      <c r="I5" s="90"/>
      <c r="J5" s="90"/>
      <c r="K5" s="90"/>
      <c r="L5" s="90"/>
      <c r="M5" s="90"/>
      <c r="N5" s="90"/>
      <c r="O5" s="90"/>
      <c r="P5" s="14"/>
      <c r="Q5" s="13"/>
      <c r="R5" s="13"/>
      <c r="S5" s="15"/>
    </row>
    <row r="6" spans="2:19" ht="12.75" customHeight="1">
      <c r="B6" s="12"/>
      <c r="C6" s="13"/>
      <c r="D6" s="91"/>
      <c r="E6" s="92" t="s">
        <v>60</v>
      </c>
      <c r="F6" s="133"/>
      <c r="G6" s="134"/>
      <c r="H6" s="134"/>
      <c r="I6" s="134"/>
      <c r="J6" s="134"/>
      <c r="K6" s="134"/>
      <c r="L6" s="134"/>
      <c r="M6" s="134"/>
      <c r="N6" s="134"/>
      <c r="O6" s="135"/>
      <c r="P6" s="13"/>
      <c r="Q6" s="13"/>
      <c r="R6" s="13"/>
      <c r="S6" s="15"/>
    </row>
    <row r="7" spans="2:19" ht="12.75" customHeight="1">
      <c r="B7" s="12"/>
      <c r="C7" s="13"/>
      <c r="D7" s="13"/>
      <c r="E7" s="13"/>
      <c r="F7" s="136"/>
      <c r="G7" s="137"/>
      <c r="H7" s="137"/>
      <c r="I7" s="137"/>
      <c r="J7" s="137"/>
      <c r="K7" s="137"/>
      <c r="L7" s="137"/>
      <c r="M7" s="137"/>
      <c r="N7" s="137"/>
      <c r="O7" s="138"/>
      <c r="P7" s="13"/>
      <c r="Q7" s="13"/>
      <c r="R7" s="13"/>
      <c r="S7" s="15"/>
    </row>
    <row r="8" spans="2:19" ht="12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2:19" ht="12.75">
      <c r="B9" s="12"/>
      <c r="C9" s="13"/>
      <c r="D9" s="93" t="s">
        <v>49</v>
      </c>
      <c r="E9" s="13"/>
      <c r="F9" s="13"/>
      <c r="G9" s="13"/>
      <c r="H9" s="13"/>
      <c r="I9" s="94">
        <v>0.9994824434996249</v>
      </c>
      <c r="J9" s="13"/>
      <c r="K9" s="139" t="s">
        <v>52</v>
      </c>
      <c r="L9" s="139"/>
      <c r="M9" s="139"/>
      <c r="N9" s="139"/>
      <c r="O9" s="139"/>
      <c r="P9" s="139"/>
      <c r="Q9" s="13"/>
      <c r="R9" s="13"/>
      <c r="S9" s="15"/>
    </row>
    <row r="10" spans="2:19" ht="15">
      <c r="B10" s="12"/>
      <c r="C10" s="13"/>
      <c r="D10" s="93" t="s">
        <v>62</v>
      </c>
      <c r="E10" s="13"/>
      <c r="F10" s="13"/>
      <c r="G10" s="13"/>
      <c r="H10" s="13"/>
      <c r="I10" s="95">
        <v>137.83582156038653</v>
      </c>
      <c r="J10" s="13"/>
      <c r="K10" s="96" t="s">
        <v>63</v>
      </c>
      <c r="L10" s="97"/>
      <c r="M10" s="97"/>
      <c r="N10" s="97"/>
      <c r="O10" s="97"/>
      <c r="P10" s="97"/>
      <c r="Q10" s="98"/>
      <c r="R10" s="13"/>
      <c r="S10" s="15"/>
    </row>
    <row r="11" spans="2:19" ht="15">
      <c r="B11" s="12"/>
      <c r="C11" s="13"/>
      <c r="D11" s="93" t="s">
        <v>50</v>
      </c>
      <c r="E11" s="13"/>
      <c r="F11" s="13"/>
      <c r="G11" s="13"/>
      <c r="H11" s="13"/>
      <c r="I11" s="94">
        <v>0.9895190331751501</v>
      </c>
      <c r="J11" s="13"/>
      <c r="K11" s="99" t="s">
        <v>65</v>
      </c>
      <c r="L11" s="100"/>
      <c r="M11" s="100"/>
      <c r="N11" s="100"/>
      <c r="O11" s="100"/>
      <c r="P11" s="100"/>
      <c r="Q11" s="101"/>
      <c r="R11" s="13"/>
      <c r="S11" s="15"/>
    </row>
    <row r="12" spans="2:19" ht="12.75">
      <c r="B12" s="12"/>
      <c r="C12" s="13"/>
      <c r="D12" s="93" t="s">
        <v>51</v>
      </c>
      <c r="E12" s="13"/>
      <c r="F12" s="13"/>
      <c r="G12" s="13"/>
      <c r="H12" s="13"/>
      <c r="I12" s="94">
        <v>-27.235103336768734</v>
      </c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2:19" ht="12.75">
      <c r="B13" s="12"/>
      <c r="C13" s="13"/>
      <c r="D13" s="93"/>
      <c r="E13" s="13"/>
      <c r="F13" s="13"/>
      <c r="G13" s="13"/>
      <c r="H13" s="13"/>
      <c r="I13" s="13"/>
      <c r="J13" s="13"/>
      <c r="K13" s="140" t="s">
        <v>67</v>
      </c>
      <c r="L13" s="141"/>
      <c r="M13" s="141"/>
      <c r="N13" s="141"/>
      <c r="O13" s="141"/>
      <c r="P13" s="141"/>
      <c r="Q13" s="142"/>
      <c r="R13" s="13"/>
      <c r="S13" s="15"/>
    </row>
    <row r="14" spans="2:29" ht="13.5" thickBot="1">
      <c r="B14" s="12"/>
      <c r="C14" s="13"/>
      <c r="D14" s="9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  <c r="Z14" s="102"/>
      <c r="AA14" s="102"/>
      <c r="AB14" s="102"/>
      <c r="AC14" s="102"/>
    </row>
    <row r="15" spans="2:29" ht="12.75">
      <c r="B15" s="12"/>
      <c r="C15" s="103"/>
      <c r="D15" s="104" t="s">
        <v>1</v>
      </c>
      <c r="E15" s="104" t="s">
        <v>1</v>
      </c>
      <c r="F15" s="130" t="s">
        <v>55</v>
      </c>
      <c r="G15" s="131"/>
      <c r="H15" s="10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Z15" s="102"/>
      <c r="AA15" s="102"/>
      <c r="AB15" s="102"/>
      <c r="AC15" s="102"/>
    </row>
    <row r="16" spans="2:29" ht="13.5" thickBot="1">
      <c r="B16" s="12"/>
      <c r="C16" s="106" t="s">
        <v>0</v>
      </c>
      <c r="D16" s="107" t="s">
        <v>3</v>
      </c>
      <c r="E16" s="107" t="s">
        <v>2</v>
      </c>
      <c r="F16" s="108" t="s">
        <v>53</v>
      </c>
      <c r="G16" s="109" t="s">
        <v>54</v>
      </c>
      <c r="H16" s="10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  <c r="Z16" s="102" t="s">
        <v>4</v>
      </c>
      <c r="AA16" s="102"/>
      <c r="AB16" s="102"/>
      <c r="AC16" s="110" t="s">
        <v>61</v>
      </c>
    </row>
    <row r="17" spans="2:29" ht="13.5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Z17" s="102"/>
      <c r="AA17" s="102"/>
      <c r="AB17" s="102"/>
      <c r="AC17" s="102"/>
    </row>
    <row r="18" spans="2:29" ht="12.75">
      <c r="B18" s="12"/>
      <c r="C18" s="111">
        <v>1</v>
      </c>
      <c r="D18" t="s">
        <v>64</v>
      </c>
      <c r="E18">
        <v>101600</v>
      </c>
      <c r="F18" s="120">
        <v>100</v>
      </c>
      <c r="G18" s="121">
        <v>100</v>
      </c>
      <c r="H18" s="10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Z18" s="102">
        <f aca="true" t="shared" si="0" ref="Z18:Z42">IF(G18&gt;50,IF(G19&lt;50,$E19*EXP(LN(50/G19)*LN($E18/$E19)/LN(G18/G19)),0),0)</f>
        <v>0</v>
      </c>
      <c r="AA18" s="102"/>
      <c r="AB18" s="102"/>
      <c r="AC18" s="102">
        <f>((F18-G18)/F18)^2</f>
        <v>0</v>
      </c>
    </row>
    <row r="19" spans="2:29" ht="12.75">
      <c r="B19" s="12"/>
      <c r="C19" s="112">
        <f aca="true" t="shared" si="1" ref="C19:C42">C18+1</f>
        <v>2</v>
      </c>
      <c r="D19" t="s">
        <v>69</v>
      </c>
      <c r="E19">
        <v>76200</v>
      </c>
      <c r="F19" s="129">
        <v>100</v>
      </c>
      <c r="G19" s="122">
        <f aca="true" t="shared" si="2" ref="G19:G42">($I$9*(1-EXP(LN(0.2)*(E19/$I$10)^$I$11))+(1-$I$9)*(1-EXP(LN(0.2)*(E19/$I$10)^$I$12)))*100</f>
        <v>99.9482443499625</v>
      </c>
      <c r="H19" s="10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Z19" s="102">
        <f t="shared" si="0"/>
        <v>0</v>
      </c>
      <c r="AA19" s="102"/>
      <c r="AB19" s="102"/>
      <c r="AC19" s="102">
        <f>IF(F19&gt;0,((F19-G19)/F19)^2,0)</f>
        <v>2.6786473108048446E-07</v>
      </c>
    </row>
    <row r="20" spans="2:29" ht="12.75">
      <c r="B20" s="12"/>
      <c r="C20" s="112">
        <f t="shared" si="1"/>
        <v>3</v>
      </c>
      <c r="D20" t="s">
        <v>68</v>
      </c>
      <c r="E20">
        <v>50800</v>
      </c>
      <c r="F20" s="129">
        <v>100</v>
      </c>
      <c r="G20" s="122">
        <f t="shared" si="2"/>
        <v>99.9482443499625</v>
      </c>
      <c r="H20" s="10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Z20" s="102">
        <f t="shared" si="0"/>
        <v>0</v>
      </c>
      <c r="AA20" s="102"/>
      <c r="AB20" s="102"/>
      <c r="AC20" s="102">
        <f aca="true" t="shared" si="3" ref="AC20:AC42">IF(F20&gt;0,((F20-G20)/F20)^2,0)</f>
        <v>2.6786473108048446E-07</v>
      </c>
    </row>
    <row r="21" spans="2:29" ht="12.75">
      <c r="B21" s="12"/>
      <c r="C21" s="112">
        <f t="shared" si="1"/>
        <v>4</v>
      </c>
      <c r="D21" t="s">
        <v>75</v>
      </c>
      <c r="E21">
        <v>38000</v>
      </c>
      <c r="F21" s="129">
        <v>100</v>
      </c>
      <c r="G21" s="122">
        <f t="shared" si="2"/>
        <v>99.9482443499625</v>
      </c>
      <c r="H21" s="10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Z21" s="102">
        <f t="shared" si="0"/>
        <v>0</v>
      </c>
      <c r="AA21" s="102"/>
      <c r="AB21" s="102"/>
      <c r="AC21" s="102">
        <f t="shared" si="3"/>
        <v>2.6786473108048446E-07</v>
      </c>
    </row>
    <row r="22" spans="2:29" ht="12.75">
      <c r="B22" s="12"/>
      <c r="C22" s="112">
        <f t="shared" si="1"/>
        <v>5</v>
      </c>
      <c r="D22" t="s">
        <v>74</v>
      </c>
      <c r="E22">
        <v>25000</v>
      </c>
      <c r="F22" s="129">
        <v>100</v>
      </c>
      <c r="G22" s="122">
        <f t="shared" si="2"/>
        <v>99.9482443499625</v>
      </c>
      <c r="H22" s="10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Z22" s="102">
        <f t="shared" si="0"/>
        <v>0</v>
      </c>
      <c r="AA22" s="102"/>
      <c r="AB22" s="102"/>
      <c r="AC22" s="102">
        <f t="shared" si="3"/>
        <v>2.6786473108048446E-07</v>
      </c>
    </row>
    <row r="23" spans="2:29" ht="12.75">
      <c r="B23" s="12"/>
      <c r="C23" s="112">
        <f t="shared" si="1"/>
        <v>6</v>
      </c>
      <c r="D23" s="152" t="s">
        <v>70</v>
      </c>
      <c r="E23" s="153">
        <v>19050</v>
      </c>
      <c r="F23" s="129">
        <v>100</v>
      </c>
      <c r="G23" s="122">
        <f t="shared" si="2"/>
        <v>99.9482443499625</v>
      </c>
      <c r="H23" s="10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Z23" s="102">
        <f t="shared" si="0"/>
        <v>0</v>
      </c>
      <c r="AA23" s="102"/>
      <c r="AB23" s="102"/>
      <c r="AC23" s="102">
        <f t="shared" si="3"/>
        <v>2.6786473108048446E-07</v>
      </c>
    </row>
    <row r="24" spans="2:29" ht="12.75">
      <c r="B24" s="12"/>
      <c r="C24" s="112">
        <f t="shared" si="1"/>
        <v>7</v>
      </c>
      <c r="D24" s="152" t="s">
        <v>71</v>
      </c>
      <c r="E24" s="153">
        <v>12700</v>
      </c>
      <c r="F24" s="155">
        <v>100</v>
      </c>
      <c r="G24" s="128">
        <f t="shared" si="2"/>
        <v>99.9482443499625</v>
      </c>
      <c r="H24" s="10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Z24" s="102">
        <f t="shared" si="0"/>
        <v>0</v>
      </c>
      <c r="AA24" s="102"/>
      <c r="AB24" s="102"/>
      <c r="AC24" s="102">
        <f t="shared" si="3"/>
        <v>2.6786473108048446E-07</v>
      </c>
    </row>
    <row r="25" spans="2:29" ht="12.75">
      <c r="B25" s="12"/>
      <c r="C25" s="112">
        <f t="shared" si="1"/>
        <v>8</v>
      </c>
      <c r="D25" s="152" t="s">
        <v>73</v>
      </c>
      <c r="E25" s="153">
        <v>9500</v>
      </c>
      <c r="F25" s="156">
        <v>100</v>
      </c>
      <c r="G25" s="128">
        <f t="shared" si="2"/>
        <v>99.9482443499625</v>
      </c>
      <c r="H25" s="10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Z25" s="102">
        <f t="shared" si="0"/>
        <v>0</v>
      </c>
      <c r="AA25" s="102"/>
      <c r="AB25" s="102"/>
      <c r="AC25" s="102">
        <f t="shared" si="3"/>
        <v>2.6786473108048446E-07</v>
      </c>
    </row>
    <row r="26" spans="2:29" ht="12.75">
      <c r="B26" s="12"/>
      <c r="C26" s="112">
        <f t="shared" si="1"/>
        <v>9</v>
      </c>
      <c r="D26" s="152" t="s">
        <v>72</v>
      </c>
      <c r="E26" s="153">
        <v>6350</v>
      </c>
      <c r="F26" s="156">
        <v>100</v>
      </c>
      <c r="G26" s="128">
        <f t="shared" si="2"/>
        <v>99.9482443499625</v>
      </c>
      <c r="H26" s="10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Z26" s="102">
        <f t="shared" si="0"/>
        <v>0</v>
      </c>
      <c r="AA26" s="102"/>
      <c r="AB26" s="102"/>
      <c r="AC26" s="102">
        <f t="shared" si="3"/>
        <v>2.6786473108048446E-07</v>
      </c>
    </row>
    <row r="27" spans="2:29" ht="12.75">
      <c r="B27" s="12"/>
      <c r="C27" s="112">
        <f t="shared" si="1"/>
        <v>10</v>
      </c>
      <c r="D27" s="153">
        <v>4</v>
      </c>
      <c r="E27" s="153">
        <v>4750</v>
      </c>
      <c r="F27" s="156">
        <v>100</v>
      </c>
      <c r="G27" s="128">
        <f t="shared" si="2"/>
        <v>99.9482443499625</v>
      </c>
      <c r="H27" s="10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Z27" s="102">
        <f t="shared" si="0"/>
        <v>0</v>
      </c>
      <c r="AA27" s="102"/>
      <c r="AB27" s="102"/>
      <c r="AC27" s="102">
        <f t="shared" si="3"/>
        <v>2.6786473108048446E-07</v>
      </c>
    </row>
    <row r="28" spans="2:29" ht="12.75">
      <c r="B28" s="12"/>
      <c r="C28" s="112">
        <f t="shared" si="1"/>
        <v>11</v>
      </c>
      <c r="D28" s="153">
        <v>6</v>
      </c>
      <c r="E28" s="153">
        <v>3350</v>
      </c>
      <c r="F28" s="156">
        <v>100</v>
      </c>
      <c r="G28" s="128">
        <f t="shared" si="2"/>
        <v>99.9482443499625</v>
      </c>
      <c r="H28" s="10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Z28" s="102">
        <f t="shared" si="0"/>
        <v>0</v>
      </c>
      <c r="AA28" s="102"/>
      <c r="AB28" s="102"/>
      <c r="AC28" s="102">
        <f t="shared" si="3"/>
        <v>2.6786473108048446E-07</v>
      </c>
    </row>
    <row r="29" spans="2:29" ht="12.75">
      <c r="B29" s="12"/>
      <c r="C29" s="112">
        <f t="shared" si="1"/>
        <v>12</v>
      </c>
      <c r="D29" s="153">
        <v>8</v>
      </c>
      <c r="E29" s="153">
        <v>2360</v>
      </c>
      <c r="F29" s="156">
        <v>100</v>
      </c>
      <c r="G29" s="128">
        <f t="shared" si="2"/>
        <v>99.94824434972085</v>
      </c>
      <c r="H29" s="10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  <c r="Z29" s="102">
        <f t="shared" si="0"/>
        <v>0</v>
      </c>
      <c r="AA29" s="102"/>
      <c r="AB29" s="102"/>
      <c r="AC29" s="102">
        <f t="shared" si="3"/>
        <v>2.6786473358174576E-07</v>
      </c>
    </row>
    <row r="30" spans="2:29" ht="12.75">
      <c r="B30" s="12"/>
      <c r="C30" s="112">
        <f t="shared" si="1"/>
        <v>13</v>
      </c>
      <c r="D30" s="153">
        <v>10</v>
      </c>
      <c r="E30" s="153">
        <v>1700</v>
      </c>
      <c r="F30" s="156">
        <v>100</v>
      </c>
      <c r="G30" s="128">
        <f t="shared" si="2"/>
        <v>99.94824394904565</v>
      </c>
      <c r="H30" s="10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Z30" s="102">
        <f t="shared" si="0"/>
        <v>0</v>
      </c>
      <c r="AA30" s="102"/>
      <c r="AB30" s="102"/>
      <c r="AC30" s="102">
        <f t="shared" si="3"/>
        <v>2.6786888103895705E-07</v>
      </c>
    </row>
    <row r="31" spans="2:29" ht="12.75">
      <c r="B31" s="12"/>
      <c r="C31" s="112">
        <f t="shared" si="1"/>
        <v>14</v>
      </c>
      <c r="D31" s="153">
        <v>14</v>
      </c>
      <c r="E31" s="153">
        <v>1180</v>
      </c>
      <c r="F31" s="156">
        <v>100</v>
      </c>
      <c r="G31" s="128">
        <f t="shared" si="2"/>
        <v>99.94810338316303</v>
      </c>
      <c r="H31" s="10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  <c r="Z31" s="102">
        <f t="shared" si="0"/>
        <v>0</v>
      </c>
      <c r="AA31" s="102"/>
      <c r="AB31" s="102"/>
      <c r="AC31" s="102">
        <f t="shared" si="3"/>
        <v>2.69325883912329E-07</v>
      </c>
    </row>
    <row r="32" spans="2:29" ht="12.75">
      <c r="B32" s="12"/>
      <c r="C32" s="112">
        <f t="shared" si="1"/>
        <v>15</v>
      </c>
      <c r="D32" s="153">
        <v>20</v>
      </c>
      <c r="E32" s="153">
        <v>850</v>
      </c>
      <c r="F32" s="156">
        <v>100</v>
      </c>
      <c r="G32" s="128">
        <f t="shared" si="2"/>
        <v>99.94234501295703</v>
      </c>
      <c r="H32" s="10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Z32" s="102">
        <f t="shared" si="0"/>
        <v>0</v>
      </c>
      <c r="AA32" s="102"/>
      <c r="AB32" s="102"/>
      <c r="AC32" s="102">
        <f t="shared" si="3"/>
        <v>3.3240975309245656E-07</v>
      </c>
    </row>
    <row r="33" spans="2:29" ht="12.75">
      <c r="B33" s="12"/>
      <c r="C33" s="112">
        <f t="shared" si="1"/>
        <v>16</v>
      </c>
      <c r="D33" s="153">
        <v>28</v>
      </c>
      <c r="E33" s="153">
        <v>600</v>
      </c>
      <c r="F33" s="156">
        <v>100</v>
      </c>
      <c r="G33" s="128">
        <f t="shared" si="2"/>
        <v>99.84738852446841</v>
      </c>
      <c r="H33" s="10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5"/>
      <c r="Z33" s="102">
        <f t="shared" si="0"/>
        <v>0</v>
      </c>
      <c r="AA33" s="102"/>
      <c r="AB33" s="102"/>
      <c r="AC33" s="102">
        <f t="shared" si="3"/>
        <v>2.3290262463927855E-06</v>
      </c>
    </row>
    <row r="34" spans="2:29" ht="12.75">
      <c r="B34" s="12"/>
      <c r="C34" s="112">
        <f t="shared" si="1"/>
        <v>17</v>
      </c>
      <c r="D34" s="153">
        <v>35</v>
      </c>
      <c r="E34" s="153">
        <v>425</v>
      </c>
      <c r="F34" s="156">
        <v>100</v>
      </c>
      <c r="G34" s="128">
        <f t="shared" si="2"/>
        <v>99.20715286295541</v>
      </c>
      <c r="H34" s="10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5"/>
      <c r="Z34" s="102">
        <f t="shared" si="0"/>
        <v>0</v>
      </c>
      <c r="AA34" s="102"/>
      <c r="AB34" s="102"/>
      <c r="AC34" s="102">
        <f t="shared" si="3"/>
        <v>6.286065827198013E-05</v>
      </c>
    </row>
    <row r="35" spans="2:29" ht="12.75">
      <c r="B35" s="12"/>
      <c r="C35" s="112">
        <f t="shared" si="1"/>
        <v>18</v>
      </c>
      <c r="D35" s="153">
        <v>48</v>
      </c>
      <c r="E35" s="153">
        <v>300</v>
      </c>
      <c r="F35" s="156">
        <v>96.04868432330505</v>
      </c>
      <c r="G35" s="128">
        <f t="shared" si="2"/>
        <v>96.8521411175469</v>
      </c>
      <c r="H35" s="10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5"/>
      <c r="Z35" s="102">
        <f t="shared" si="0"/>
        <v>0</v>
      </c>
      <c r="AA35" s="102"/>
      <c r="AB35" s="102"/>
      <c r="AC35" s="102">
        <f t="shared" si="3"/>
        <v>6.997488843141146E-05</v>
      </c>
    </row>
    <row r="36" spans="2:29" ht="12.75">
      <c r="B36" s="12"/>
      <c r="C36" s="112">
        <f t="shared" si="1"/>
        <v>19</v>
      </c>
      <c r="D36" s="153">
        <v>65</v>
      </c>
      <c r="E36" s="153">
        <v>212</v>
      </c>
      <c r="F36" s="156">
        <v>90.93168766606668</v>
      </c>
      <c r="G36" s="128">
        <f t="shared" si="2"/>
        <v>91.44555739152683</v>
      </c>
      <c r="H36" s="10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5"/>
      <c r="Z36" s="102">
        <f>IF(G36&gt;50,IF(G42&lt;50,$E42*EXP(LN(50/G42)*LN($E36/$E42)/LN(G36/G42)),0),0)</f>
        <v>69.59523682363489</v>
      </c>
      <c r="AA36" s="102"/>
      <c r="AB36" s="102"/>
      <c r="AC36" s="102">
        <f t="shared" si="3"/>
        <v>3.193563537155542E-05</v>
      </c>
    </row>
    <row r="37" spans="2:29" ht="12.75">
      <c r="B37" s="12"/>
      <c r="C37" s="112">
        <f t="shared" si="1"/>
        <v>20</v>
      </c>
      <c r="D37" s="153">
        <v>100</v>
      </c>
      <c r="E37" s="153">
        <v>150</v>
      </c>
      <c r="F37" s="156">
        <v>82.03479900574268</v>
      </c>
      <c r="G37" s="128">
        <f t="shared" si="2"/>
        <v>82.58615947819827</v>
      </c>
      <c r="H37" s="10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5"/>
      <c r="Z37" s="102"/>
      <c r="AA37" s="102"/>
      <c r="AB37" s="102"/>
      <c r="AC37" s="102">
        <f t="shared" si="3"/>
        <v>4.517259283576504E-05</v>
      </c>
    </row>
    <row r="38" spans="2:29" ht="12.75">
      <c r="B38" s="12"/>
      <c r="C38" s="112">
        <f t="shared" si="1"/>
        <v>21</v>
      </c>
      <c r="D38" s="153">
        <v>150</v>
      </c>
      <c r="E38" s="153">
        <v>106</v>
      </c>
      <c r="F38" s="156">
        <v>71.19225164995285</v>
      </c>
      <c r="G38" s="128">
        <f t="shared" si="2"/>
        <v>71.10890179985834</v>
      </c>
      <c r="H38" s="10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5"/>
      <c r="Z38" s="102"/>
      <c r="AA38" s="102"/>
      <c r="AB38" s="102"/>
      <c r="AC38" s="102">
        <f t="shared" si="3"/>
        <v>1.3707056039989832E-06</v>
      </c>
    </row>
    <row r="39" spans="2:29" ht="12.75">
      <c r="B39" s="12"/>
      <c r="C39" s="112">
        <f t="shared" si="1"/>
        <v>22</v>
      </c>
      <c r="D39" s="153">
        <v>200</v>
      </c>
      <c r="E39" s="153">
        <v>75</v>
      </c>
      <c r="F39" s="156">
        <v>59.07259792577355</v>
      </c>
      <c r="G39" s="128">
        <f t="shared" si="2"/>
        <v>58.5986943907414</v>
      </c>
      <c r="H39" s="10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5"/>
      <c r="Z39" s="102"/>
      <c r="AA39" s="102"/>
      <c r="AB39" s="102"/>
      <c r="AC39" s="102">
        <f t="shared" si="3"/>
        <v>6.435877286202882E-05</v>
      </c>
    </row>
    <row r="40" spans="2:29" ht="12.75">
      <c r="B40" s="12"/>
      <c r="C40" s="112">
        <f t="shared" si="1"/>
        <v>23</v>
      </c>
      <c r="D40" s="153">
        <v>270</v>
      </c>
      <c r="E40" s="153">
        <v>53</v>
      </c>
      <c r="F40" s="156">
        <v>48.144338733179055</v>
      </c>
      <c r="G40" s="128">
        <f t="shared" si="2"/>
        <v>46.506062895673814</v>
      </c>
      <c r="H40" s="10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  <c r="Z40" s="102"/>
      <c r="AA40" s="102"/>
      <c r="AB40" s="102"/>
      <c r="AC40" s="102">
        <f t="shared" si="3"/>
        <v>0.0011579334503500993</v>
      </c>
    </row>
    <row r="41" spans="2:29" ht="12.75">
      <c r="B41" s="12"/>
      <c r="C41" s="112">
        <f t="shared" si="1"/>
        <v>24</v>
      </c>
      <c r="D41" s="153">
        <v>325</v>
      </c>
      <c r="E41" s="153">
        <v>44</v>
      </c>
      <c r="F41" s="156">
        <v>38.91317390931688</v>
      </c>
      <c r="G41" s="128">
        <f t="shared" si="2"/>
        <v>40.575803087668326</v>
      </c>
      <c r="H41" s="10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5"/>
      <c r="Z41" s="102"/>
      <c r="AA41" s="102"/>
      <c r="AB41" s="102"/>
      <c r="AC41" s="102">
        <f t="shared" si="3"/>
        <v>0.0018255657777031832</v>
      </c>
    </row>
    <row r="42" spans="2:29" ht="12.75">
      <c r="B42" s="12"/>
      <c r="C42" s="112">
        <f t="shared" si="1"/>
        <v>25</v>
      </c>
      <c r="D42" s="153">
        <v>400</v>
      </c>
      <c r="E42" s="154">
        <v>37</v>
      </c>
      <c r="F42" s="156">
        <v>35.913259621153685</v>
      </c>
      <c r="G42" s="128">
        <f t="shared" si="2"/>
        <v>35.502515851770106</v>
      </c>
      <c r="H42" s="10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5"/>
      <c r="Z42" s="102">
        <f t="shared" si="0"/>
        <v>0</v>
      </c>
      <c r="AA42" s="102"/>
      <c r="AB42" s="102"/>
      <c r="AC42" s="102">
        <f t="shared" si="3"/>
        <v>0.00013080740148368772</v>
      </c>
    </row>
    <row r="43" spans="2:29" ht="13.5" thickBot="1">
      <c r="B43" s="12"/>
      <c r="C43" s="113">
        <v>26</v>
      </c>
      <c r="D43" s="124">
        <f>-D42</f>
        <v>-400</v>
      </c>
      <c r="E43" s="125">
        <v>0</v>
      </c>
      <c r="F43" s="156">
        <v>32.93048770035142</v>
      </c>
      <c r="G43" s="123"/>
      <c r="H43" s="10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  <c r="Z43" s="102"/>
      <c r="AA43" s="102"/>
      <c r="AB43" s="102"/>
      <c r="AC43" s="102"/>
    </row>
    <row r="44" spans="2:29" ht="13.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5"/>
      <c r="Z44" s="102">
        <f>SUM(Z18:Z42)</f>
        <v>69.59523682363489</v>
      </c>
      <c r="AA44" s="102"/>
      <c r="AB44" s="102"/>
      <c r="AC44" s="102">
        <f>SUM(AC18:AC42)/25</f>
        <v>0.00013584500102890133</v>
      </c>
    </row>
    <row r="45" spans="2:29" ht="15" thickBot="1">
      <c r="B45" s="12"/>
      <c r="C45" s="93" t="s">
        <v>56</v>
      </c>
      <c r="D45" s="93"/>
      <c r="E45" s="13"/>
      <c r="F45" s="13"/>
      <c r="G45" s="114">
        <f>100*AC44^0.5</f>
        <v>1.165525636907663</v>
      </c>
      <c r="H45" s="13"/>
      <c r="I45" s="115" t="s">
        <v>57</v>
      </c>
      <c r="J45" s="126">
        <f>I10</f>
        <v>137.83582156038653</v>
      </c>
      <c r="K45" s="116" t="s">
        <v>5</v>
      </c>
      <c r="L45" s="115" t="s">
        <v>58</v>
      </c>
      <c r="M45" s="126">
        <f>Z44</f>
        <v>69.59523682363489</v>
      </c>
      <c r="N45" s="116" t="s">
        <v>5</v>
      </c>
      <c r="O45" s="115" t="s">
        <v>59</v>
      </c>
      <c r="P45" s="127">
        <f>J45/M45</f>
        <v>1.9805352758506138</v>
      </c>
      <c r="Q45" s="13"/>
      <c r="R45" s="13"/>
      <c r="S45" s="15"/>
      <c r="Z45" s="102"/>
      <c r="AA45" s="102"/>
      <c r="AB45" s="102"/>
      <c r="AC45" s="102"/>
    </row>
    <row r="46" spans="2:19" ht="7.5" customHeight="1" thickBot="1">
      <c r="B46" s="8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88"/>
    </row>
    <row r="47" ht="13.5" thickTop="1"/>
    <row r="50" spans="3:6" ht="12.75">
      <c r="C50" s="118">
        <v>10</v>
      </c>
      <c r="D50" s="119">
        <f>J45</f>
        <v>137.83582156038653</v>
      </c>
      <c r="E50" s="119">
        <f>J45</f>
        <v>137.83582156038653</v>
      </c>
      <c r="F50" s="119">
        <f>E50</f>
        <v>137.83582156038653</v>
      </c>
    </row>
    <row r="51" spans="3:6" ht="12.75">
      <c r="C51" s="118">
        <v>80</v>
      </c>
      <c r="D51" s="118">
        <v>80</v>
      </c>
      <c r="E51" s="118">
        <v>1</v>
      </c>
      <c r="F51" s="118">
        <v>80</v>
      </c>
    </row>
  </sheetData>
  <sheetProtection insertColumns="0" insertRows="0"/>
  <mergeCells count="7">
    <mergeCell ref="F15:G15"/>
    <mergeCell ref="F3:O3"/>
    <mergeCell ref="F4:O4"/>
    <mergeCell ref="F6:O6"/>
    <mergeCell ref="F7:O7"/>
    <mergeCell ref="K9:P9"/>
    <mergeCell ref="K13:Q13"/>
  </mergeCells>
  <printOptions horizontalCentered="1" verticalCentered="1"/>
  <pageMargins left="0.25" right="0.25" top="1" bottom="1.5" header="0" footer="0.5"/>
  <pageSetup fitToHeight="1" fitToWidth="1" horizontalDpi="300" verticalDpi="300" orientation="landscape" pageOrder="overThenDown" scale="71" r:id="rId2"/>
  <headerFooter alignWithMargins="0">
    <oddFooter>&amp;L&amp;"Arial,Bold"&amp;8Moly-Cop Tools&amp;"Arial,Regular" / &amp;F&amp;R&amp;8&amp;D   /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Guzman, Levi</cp:lastModifiedBy>
  <cp:lastPrinted>2001-05-19T17:18:14Z</cp:lastPrinted>
  <dcterms:created xsi:type="dcterms:W3CDTF">1999-06-11T16:51:14Z</dcterms:created>
  <dcterms:modified xsi:type="dcterms:W3CDTF">2011-07-22T16:14:30Z</dcterms:modified>
  <cp:category/>
  <cp:version/>
  <cp:contentType/>
  <cp:contentStatus/>
</cp:coreProperties>
</file>