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Extensive Properties" sheetId="1" r:id="rId1"/>
    <sheet name="Intensive Properties" sheetId="2" r:id="rId2"/>
  </sheets>
  <definedNames>
    <definedName name="_xlnm.Print_Area" localSheetId="0">'Extensive Properties'!$B$2:$V$41</definedName>
    <definedName name="_xlnm.Print_Area" localSheetId="1">'Intensive Properties'!$B$2:$L$16</definedName>
    <definedName name="_xlnm.Print_Titles" localSheetId="0">'Extensive Properties'!$2:$9</definedName>
    <definedName name="_xlnm.Print_Titles" localSheetId="1">'Intensive Properties'!$2:$11</definedName>
  </definedNames>
  <calcPr fullCalcOnLoad="1"/>
</workbook>
</file>

<file path=xl/sharedStrings.xml><?xml version="1.0" encoding="utf-8"?>
<sst xmlns="http://schemas.openxmlformats.org/spreadsheetml/2006/main" count="264" uniqueCount="45">
  <si>
    <t>Given</t>
  </si>
  <si>
    <t>MS</t>
  </si>
  <si>
    <t>MW</t>
  </si>
  <si>
    <t>MP</t>
  </si>
  <si>
    <t>QP</t>
  </si>
  <si>
    <t>and</t>
  </si>
  <si>
    <t>RHOP</t>
  </si>
  <si>
    <t>PSV</t>
  </si>
  <si>
    <t>PS</t>
  </si>
  <si>
    <t>Percent Solids</t>
  </si>
  <si>
    <t>(PSV, % by volume)</t>
  </si>
  <si>
    <t>(RHOP, tons/m3)</t>
  </si>
  <si>
    <t>Pulp Density</t>
  </si>
  <si>
    <t>Pulp Volume</t>
  </si>
  <si>
    <t>(QP, m3)</t>
  </si>
  <si>
    <t>Pulp Weight</t>
  </si>
  <si>
    <t>(MP, tons)</t>
  </si>
  <si>
    <t>Water</t>
  </si>
  <si>
    <t>(MW, m3)</t>
  </si>
  <si>
    <t>(MS, tons)</t>
  </si>
  <si>
    <t>Dry Solids</t>
  </si>
  <si>
    <t>(PS, % by weight)</t>
  </si>
  <si>
    <t xml:space="preserve"> Dry Solids</t>
  </si>
  <si>
    <t xml:space="preserve"> (MS, tons)</t>
  </si>
  <si>
    <t xml:space="preserve"> Water</t>
  </si>
  <si>
    <t xml:space="preserve"> (MW, m3)</t>
  </si>
  <si>
    <t xml:space="preserve"> Pulp Weight</t>
  </si>
  <si>
    <t xml:space="preserve"> (MP, tons)</t>
  </si>
  <si>
    <t xml:space="preserve"> Pulp Volume</t>
  </si>
  <si>
    <t xml:space="preserve"> (QP, m3)</t>
  </si>
  <si>
    <t xml:space="preserve"> Pulp Density</t>
  </si>
  <si>
    <t xml:space="preserve"> (RHOP, tons/m3)</t>
  </si>
  <si>
    <t xml:space="preserve"> Percent Solids</t>
  </si>
  <si>
    <t xml:space="preserve"> (PS, % by weight)</t>
  </si>
  <si>
    <t>Obtain</t>
  </si>
  <si>
    <t>MINERAL SLURRY CHARACTERIZATION</t>
  </si>
  <si>
    <t xml:space="preserve"> (PSV, % by vol)</t>
  </si>
  <si>
    <r>
      <t>Ore Density, tons/m</t>
    </r>
    <r>
      <rPr>
        <b/>
        <vertAlign val="superscript"/>
        <sz val="7.5"/>
        <rFont val="Arial"/>
        <family val="2"/>
      </rPr>
      <t>3</t>
    </r>
    <r>
      <rPr>
        <b/>
        <sz val="10"/>
        <rFont val="Arial"/>
        <family val="2"/>
      </rPr>
      <t xml:space="preserve"> :   </t>
    </r>
  </si>
  <si>
    <t>Intensive Properties</t>
  </si>
  <si>
    <t>Extensive Properties</t>
  </si>
  <si>
    <r>
      <t>Ore Density, tons/m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:   </t>
    </r>
  </si>
  <si>
    <t>Solids Concentration</t>
  </si>
  <si>
    <t>gr/lt</t>
  </si>
  <si>
    <r>
      <t xml:space="preserve">Moly-Cop Tools </t>
    </r>
    <r>
      <rPr>
        <vertAlign val="superscript"/>
        <sz val="12"/>
        <color indexed="18"/>
        <rFont val="Comic Sans MS"/>
        <family val="4"/>
      </rPr>
      <t xml:space="preserve">TM   </t>
    </r>
    <r>
      <rPr>
        <sz val="12"/>
        <color indexed="18"/>
        <rFont val="Comic Sans MS"/>
        <family val="4"/>
      </rPr>
      <t>(Version 2.0)</t>
    </r>
  </si>
  <si>
    <t>(gr (solids) / lt)</t>
  </si>
</sst>
</file>

<file path=xl/styles.xml><?xml version="1.0" encoding="utf-8"?>
<styleSheet xmlns="http://schemas.openxmlformats.org/spreadsheetml/2006/main">
  <numFmts count="3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* #,##0_-;\-* #,##0_-;_-* &quot;-&quot;_-;_-@_-"/>
    <numFmt numFmtId="176" formatCode="_-&quot;$&quot;\ * #,##0.00_-;\-&quot;$&quot;\ * #,##0.00_-;_-&quot;$&quot;\ * &quot;-&quot;??_-;_-@_-"/>
    <numFmt numFmtId="177" formatCode="_-* #,##0.00_-;\-* #,##0.00_-;_-* &quot;-&quot;??_-;_-@_-"/>
    <numFmt numFmtId="178" formatCode="0.00\ \ "/>
    <numFmt numFmtId="179" formatCode="0.0\ \ "/>
    <numFmt numFmtId="180" formatCode="0\ \ "/>
    <numFmt numFmtId="181" formatCode="0.0"/>
    <numFmt numFmtId="182" formatCode="0.000"/>
    <numFmt numFmtId="183" formatCode="0.000\ \ "/>
    <numFmt numFmtId="184" formatCode="0.00\ \ \ "/>
    <numFmt numFmtId="185" formatCode="0.000\ \ \ 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2"/>
      <color indexed="18"/>
      <name val="Comic Sans MS"/>
      <family val="4"/>
    </font>
    <font>
      <vertAlign val="superscript"/>
      <sz val="12"/>
      <color indexed="18"/>
      <name val="Comic Sans MS"/>
      <family val="4"/>
    </font>
    <font>
      <i/>
      <sz val="8"/>
      <color indexed="18"/>
      <name val="Comic Sans MS"/>
      <family val="4"/>
    </font>
    <font>
      <b/>
      <sz val="12"/>
      <name val="Arial"/>
      <family val="2"/>
    </font>
    <font>
      <b/>
      <i/>
      <sz val="10"/>
      <name val="Arial"/>
      <family val="2"/>
    </font>
    <font>
      <b/>
      <vertAlign val="superscript"/>
      <sz val="7.5"/>
      <name val="Arial"/>
      <family val="2"/>
    </font>
    <font>
      <b/>
      <vertAlign val="superscript"/>
      <sz val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184" fontId="0" fillId="3" borderId="6" xfId="0" applyNumberFormat="1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2" fillId="4" borderId="7" xfId="0" applyFont="1" applyFill="1" applyBorder="1" applyAlignment="1" applyProtection="1">
      <alignment/>
      <protection locked="0"/>
    </xf>
    <xf numFmtId="0" fontId="2" fillId="4" borderId="8" xfId="0" applyFont="1" applyFill="1" applyBorder="1" applyAlignment="1" applyProtection="1">
      <alignment/>
      <protection locked="0"/>
    </xf>
    <xf numFmtId="0" fontId="2" fillId="4" borderId="9" xfId="0" applyFont="1" applyFill="1" applyBorder="1" applyAlignment="1" applyProtection="1">
      <alignment/>
      <protection locked="0"/>
    </xf>
    <xf numFmtId="184" fontId="0" fillId="3" borderId="10" xfId="0" applyNumberForma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185" fontId="0" fillId="3" borderId="10" xfId="0" applyNumberFormat="1" applyFill="1" applyBorder="1" applyAlignment="1" applyProtection="1">
      <alignment/>
      <protection locked="0"/>
    </xf>
    <xf numFmtId="184" fontId="0" fillId="2" borderId="0" xfId="0" applyNumberFormat="1" applyFill="1" applyBorder="1" applyAlignment="1" applyProtection="1">
      <alignment/>
      <protection locked="0"/>
    </xf>
    <xf numFmtId="184" fontId="0" fillId="3" borderId="12" xfId="0" applyNumberFormat="1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184" fontId="0" fillId="2" borderId="14" xfId="0" applyNumberFormat="1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/>
    </xf>
    <xf numFmtId="184" fontId="0" fillId="6" borderId="17" xfId="0" applyNumberFormat="1" applyFill="1" applyBorder="1" applyAlignment="1" applyProtection="1">
      <alignment/>
      <protection/>
    </xf>
    <xf numFmtId="184" fontId="0" fillId="3" borderId="16" xfId="0" applyNumberFormat="1" applyFill="1" applyBorder="1" applyAlignment="1" applyProtection="1">
      <alignment/>
      <protection/>
    </xf>
    <xf numFmtId="0" fontId="0" fillId="5" borderId="18" xfId="0" applyFill="1" applyBorder="1" applyAlignment="1" applyProtection="1">
      <alignment/>
      <protection/>
    </xf>
    <xf numFmtId="184" fontId="0" fillId="6" borderId="19" xfId="0" applyNumberFormat="1" applyFill="1" applyBorder="1" applyAlignment="1" applyProtection="1">
      <alignment/>
      <protection/>
    </xf>
    <xf numFmtId="184" fontId="0" fillId="3" borderId="18" xfId="0" applyNumberFormat="1" applyFill="1" applyBorder="1" applyAlignment="1" applyProtection="1">
      <alignment/>
      <protection/>
    </xf>
    <xf numFmtId="184" fontId="0" fillId="5" borderId="18" xfId="0" applyNumberFormat="1" applyFill="1" applyBorder="1" applyAlignment="1" applyProtection="1">
      <alignment/>
      <protection/>
    </xf>
    <xf numFmtId="184" fontId="0" fillId="6" borderId="10" xfId="0" applyNumberFormat="1" applyFill="1" applyBorder="1" applyAlignment="1" applyProtection="1">
      <alignment/>
      <protection/>
    </xf>
    <xf numFmtId="185" fontId="0" fillId="6" borderId="19" xfId="0" applyNumberFormat="1" applyFill="1" applyBorder="1" applyAlignment="1" applyProtection="1">
      <alignment/>
      <protection/>
    </xf>
    <xf numFmtId="185" fontId="0" fillId="5" borderId="18" xfId="0" applyNumberFormat="1" applyFill="1" applyBorder="1" applyAlignment="1" applyProtection="1">
      <alignment/>
      <protection/>
    </xf>
    <xf numFmtId="185" fontId="0" fillId="6" borderId="10" xfId="0" applyNumberFormat="1" applyFill="1" applyBorder="1" applyAlignment="1" applyProtection="1">
      <alignment/>
      <protection/>
    </xf>
    <xf numFmtId="0" fontId="0" fillId="5" borderId="20" xfId="0" applyFill="1" applyBorder="1" applyAlignment="1" applyProtection="1">
      <alignment/>
      <protection/>
    </xf>
    <xf numFmtId="184" fontId="0" fillId="6" borderId="21" xfId="0" applyNumberFormat="1" applyFill="1" applyBorder="1" applyAlignment="1" applyProtection="1">
      <alignment/>
      <protection/>
    </xf>
    <xf numFmtId="184" fontId="0" fillId="5" borderId="20" xfId="0" applyNumberFormat="1" applyFill="1" applyBorder="1" applyAlignment="1" applyProtection="1">
      <alignment/>
      <protection/>
    </xf>
    <xf numFmtId="184" fontId="0" fillId="6" borderId="12" xfId="0" applyNumberFormat="1" applyFill="1" applyBorder="1" applyAlignment="1" applyProtection="1">
      <alignment/>
      <protection/>
    </xf>
    <xf numFmtId="0" fontId="0" fillId="3" borderId="16" xfId="0" applyFill="1" applyBorder="1" applyAlignment="1" applyProtection="1">
      <alignment/>
      <protection/>
    </xf>
    <xf numFmtId="184" fontId="0" fillId="5" borderId="16" xfId="0" applyNumberFormat="1" applyFill="1" applyBorder="1" applyAlignment="1" applyProtection="1">
      <alignment/>
      <protection/>
    </xf>
    <xf numFmtId="184" fontId="0" fillId="6" borderId="6" xfId="0" applyNumberFormat="1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185" fontId="0" fillId="3" borderId="18" xfId="0" applyNumberFormat="1" applyFill="1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184" fontId="0" fillId="3" borderId="20" xfId="0" applyNumberForma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2" fontId="0" fillId="3" borderId="22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/>
      <protection locked="0"/>
    </xf>
    <xf numFmtId="185" fontId="0" fillId="3" borderId="6" xfId="0" applyNumberFormat="1" applyFill="1" applyBorder="1" applyAlignment="1" applyProtection="1">
      <alignment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184" fontId="0" fillId="3" borderId="10" xfId="0" applyNumberFormat="1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0" fillId="3" borderId="20" xfId="0" applyFill="1" applyBorder="1" applyAlignment="1" applyProtection="1">
      <alignment vertical="center"/>
      <protection locked="0"/>
    </xf>
    <xf numFmtId="184" fontId="0" fillId="3" borderId="12" xfId="0" applyNumberFormat="1" applyFill="1" applyBorder="1" applyAlignment="1" applyProtection="1">
      <alignment vertical="center"/>
      <protection locked="0"/>
    </xf>
    <xf numFmtId="0" fontId="0" fillId="5" borderId="18" xfId="0" applyFill="1" applyBorder="1" applyAlignment="1" applyProtection="1">
      <alignment vertical="center"/>
      <protection/>
    </xf>
    <xf numFmtId="184" fontId="0" fillId="6" borderId="10" xfId="0" applyNumberFormat="1" applyFill="1" applyBorder="1" applyAlignment="1" applyProtection="1">
      <alignment vertical="center"/>
      <protection/>
    </xf>
    <xf numFmtId="0" fontId="0" fillId="5" borderId="20" xfId="0" applyFill="1" applyBorder="1" applyAlignment="1" applyProtection="1">
      <alignment vertical="center"/>
      <protection/>
    </xf>
    <xf numFmtId="184" fontId="0" fillId="6" borderId="12" xfId="0" applyNumberFormat="1" applyFill="1" applyBorder="1" applyAlignment="1" applyProtection="1">
      <alignment vertical="center"/>
      <protection/>
    </xf>
    <xf numFmtId="185" fontId="0" fillId="6" borderId="10" xfId="0" applyNumberForma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23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6</xdr:row>
      <xdr:rowOff>85725</xdr:rowOff>
    </xdr:from>
    <xdr:to>
      <xdr:col>2</xdr:col>
      <xdr:colOff>838200</xdr:colOff>
      <xdr:row>6</xdr:row>
      <xdr:rowOff>85725</xdr:rowOff>
    </xdr:to>
    <xdr:sp>
      <xdr:nvSpPr>
        <xdr:cNvPr id="1" name="Line 1"/>
        <xdr:cNvSpPr>
          <a:spLocks/>
        </xdr:cNvSpPr>
      </xdr:nvSpPr>
      <xdr:spPr>
        <a:xfrm>
          <a:off x="685800" y="1238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76200</xdr:rowOff>
    </xdr:from>
    <xdr:to>
      <xdr:col>2</xdr:col>
      <xdr:colOff>828675</xdr:colOff>
      <xdr:row>7</xdr:row>
      <xdr:rowOff>76200</xdr:rowOff>
    </xdr:to>
    <xdr:sp>
      <xdr:nvSpPr>
        <xdr:cNvPr id="2" name="Line 2"/>
        <xdr:cNvSpPr>
          <a:spLocks/>
        </xdr:cNvSpPr>
      </xdr:nvSpPr>
      <xdr:spPr>
        <a:xfrm>
          <a:off x="676275" y="1390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7</xdr:row>
      <xdr:rowOff>76200</xdr:rowOff>
    </xdr:from>
    <xdr:to>
      <xdr:col>2</xdr:col>
      <xdr:colOff>828675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>
          <a:off x="1057275" y="1390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6</xdr:row>
      <xdr:rowOff>85725</xdr:rowOff>
    </xdr:from>
    <xdr:to>
      <xdr:col>12</xdr:col>
      <xdr:colOff>838200</xdr:colOff>
      <xdr:row>6</xdr:row>
      <xdr:rowOff>85725</xdr:rowOff>
    </xdr:to>
    <xdr:sp>
      <xdr:nvSpPr>
        <xdr:cNvPr id="4" name="Line 4"/>
        <xdr:cNvSpPr>
          <a:spLocks/>
        </xdr:cNvSpPr>
      </xdr:nvSpPr>
      <xdr:spPr>
        <a:xfrm>
          <a:off x="6429375" y="1238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447675</xdr:colOff>
      <xdr:row>7</xdr:row>
      <xdr:rowOff>76200</xdr:rowOff>
    </xdr:from>
    <xdr:to>
      <xdr:col>12</xdr:col>
      <xdr:colOff>828675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>
          <a:off x="6419850" y="1390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7</xdr:row>
      <xdr:rowOff>76200</xdr:rowOff>
    </xdr:from>
    <xdr:to>
      <xdr:col>12</xdr:col>
      <xdr:colOff>828675</xdr:colOff>
      <xdr:row>8</xdr:row>
      <xdr:rowOff>95250</xdr:rowOff>
    </xdr:to>
    <xdr:sp>
      <xdr:nvSpPr>
        <xdr:cNvPr id="6" name="Line 6"/>
        <xdr:cNvSpPr>
          <a:spLocks/>
        </xdr:cNvSpPr>
      </xdr:nvSpPr>
      <xdr:spPr>
        <a:xfrm>
          <a:off x="6800850" y="13906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34</xdr:row>
      <xdr:rowOff>28575</xdr:rowOff>
    </xdr:from>
    <xdr:to>
      <xdr:col>20</xdr:col>
      <xdr:colOff>361950</xdr:colOff>
      <xdr:row>38</xdr:row>
      <xdr:rowOff>28575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7324725" y="5819775"/>
          <a:ext cx="4057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Hint : </a:t>
          </a: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Select the rectangle that shows the pair of properties that you know, enter such values and the spreadsheet will compute the remaining 5 properties.</a:t>
          </a:r>
        </a:p>
      </xdr:txBody>
    </xdr:sp>
    <xdr:clientData/>
  </xdr:twoCellAnchor>
  <xdr:twoCellAnchor>
    <xdr:from>
      <xdr:col>19</xdr:col>
      <xdr:colOff>66675</xdr:colOff>
      <xdr:row>1</xdr:row>
      <xdr:rowOff>76200</xdr:rowOff>
    </xdr:from>
    <xdr:to>
      <xdr:col>21</xdr:col>
      <xdr:colOff>38100</xdr:colOff>
      <xdr:row>2</xdr:row>
      <xdr:rowOff>95250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39425" y="17145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8</xdr:row>
      <xdr:rowOff>85725</xdr:rowOff>
    </xdr:from>
    <xdr:to>
      <xdr:col>2</xdr:col>
      <xdr:colOff>885825</xdr:colOff>
      <xdr:row>8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3425" y="1571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514350</xdr:colOff>
      <xdr:row>11</xdr:row>
      <xdr:rowOff>114300</xdr:rowOff>
    </xdr:from>
    <xdr:to>
      <xdr:col>2</xdr:col>
      <xdr:colOff>895350</xdr:colOff>
      <xdr:row>11</xdr:row>
      <xdr:rowOff>114300</xdr:rowOff>
    </xdr:to>
    <xdr:sp>
      <xdr:nvSpPr>
        <xdr:cNvPr id="2" name="Line 4"/>
        <xdr:cNvSpPr>
          <a:spLocks/>
        </xdr:cNvSpPr>
      </xdr:nvSpPr>
      <xdr:spPr>
        <a:xfrm>
          <a:off x="742950" y="2105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17</xdr:row>
      <xdr:rowOff>66675</xdr:rowOff>
    </xdr:from>
    <xdr:to>
      <xdr:col>9</xdr:col>
      <xdr:colOff>314325</xdr:colOff>
      <xdr:row>21</xdr:row>
      <xdr:rowOff>76200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19225" y="3390900"/>
          <a:ext cx="4057650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Hint : </a:t>
          </a:r>
          <a:r>
            <a:rPr lang="en-US" cap="none" sz="12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Select the rectangle that shows the property that you know, enter such value and the spreadsheet will compute the remaining 4 properties.</a:t>
          </a:r>
        </a:p>
      </xdr:txBody>
    </xdr:sp>
    <xdr:clientData/>
  </xdr:twoCellAnchor>
  <xdr:twoCellAnchor>
    <xdr:from>
      <xdr:col>9</xdr:col>
      <xdr:colOff>352425</xdr:colOff>
      <xdr:row>1</xdr:row>
      <xdr:rowOff>57150</xdr:rowOff>
    </xdr:from>
    <xdr:to>
      <xdr:col>10</xdr:col>
      <xdr:colOff>838200</xdr:colOff>
      <xdr:row>2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52400"/>
          <a:ext cx="933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41"/>
  <sheetViews>
    <sheetView tabSelected="1" zoomScale="85" zoomScaleNormal="85" workbookViewId="0" topLeftCell="A5">
      <selection activeCell="O15" sqref="O15"/>
    </sheetView>
  </sheetViews>
  <sheetFormatPr defaultColWidth="11.421875" defaultRowHeight="12.75"/>
  <cols>
    <col min="1" max="2" width="1.7109375" style="1" customWidth="1"/>
    <col min="3" max="3" width="14.7109375" style="1" customWidth="1"/>
    <col min="4" max="4" width="6.7109375" style="1" customWidth="1"/>
    <col min="5" max="5" width="10.7109375" style="1" customWidth="1"/>
    <col min="6" max="6" width="6.7109375" style="1" customWidth="1"/>
    <col min="7" max="7" width="10.7109375" style="1" customWidth="1"/>
    <col min="8" max="8" width="6.7109375" style="1" customWidth="1"/>
    <col min="9" max="9" width="10.7109375" style="1" customWidth="1"/>
    <col min="10" max="10" width="6.7109375" style="1" customWidth="1"/>
    <col min="11" max="11" width="10.7109375" style="1" customWidth="1"/>
    <col min="12" max="12" width="1.7109375" style="1" customWidth="1"/>
    <col min="13" max="13" width="16.7109375" style="1" customWidth="1"/>
    <col min="14" max="14" width="6.7109375" style="1" customWidth="1"/>
    <col min="15" max="15" width="10.7109375" style="1" customWidth="1"/>
    <col min="16" max="16" width="6.7109375" style="1" customWidth="1"/>
    <col min="17" max="17" width="10.7109375" style="1" customWidth="1"/>
    <col min="18" max="18" width="6.7109375" style="1" customWidth="1"/>
    <col min="19" max="19" width="10.7109375" style="1" customWidth="1"/>
    <col min="20" max="20" width="6.7109375" style="1" customWidth="1"/>
    <col min="21" max="21" width="10.7109375" style="1" customWidth="1"/>
    <col min="22" max="22" width="1.7109375" style="1" customWidth="1"/>
    <col min="23" max="16384" width="9.140625" style="1" customWidth="1"/>
  </cols>
  <sheetData>
    <row r="1" ht="7.5" customHeight="1" thickBot="1"/>
    <row r="2" spans="2:22" ht="24.75" customHeight="1" thickTop="1">
      <c r="B2" s="2"/>
      <c r="C2" s="3" t="s">
        <v>43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6"/>
    </row>
    <row r="3" spans="2:22" ht="15.75">
      <c r="B3" s="7"/>
      <c r="C3" s="67" t="s">
        <v>35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8"/>
    </row>
    <row r="4" spans="2:22" ht="16.5" thickBot="1">
      <c r="B4" s="7"/>
      <c r="C4" s="67" t="s">
        <v>39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8"/>
    </row>
    <row r="5" spans="2:22" ht="12.75">
      <c r="B5" s="7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37</v>
      </c>
      <c r="U5" s="11">
        <v>3.2</v>
      </c>
      <c r="V5" s="8"/>
    </row>
    <row r="6" spans="2:22" ht="13.5" thickBot="1">
      <c r="B6" s="7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8"/>
    </row>
    <row r="7" spans="2:22" ht="12.75">
      <c r="B7" s="7"/>
      <c r="C7" s="12" t="s">
        <v>0</v>
      </c>
      <c r="D7" s="68" t="s">
        <v>20</v>
      </c>
      <c r="E7" s="69"/>
      <c r="F7" s="68" t="s">
        <v>17</v>
      </c>
      <c r="G7" s="69"/>
      <c r="H7" s="68" t="s">
        <v>15</v>
      </c>
      <c r="I7" s="69"/>
      <c r="J7" s="68" t="s">
        <v>13</v>
      </c>
      <c r="K7" s="69"/>
      <c r="L7" s="9"/>
      <c r="M7" s="12" t="s">
        <v>0</v>
      </c>
      <c r="N7" s="68" t="s">
        <v>20</v>
      </c>
      <c r="O7" s="69"/>
      <c r="P7" s="68" t="s">
        <v>17</v>
      </c>
      <c r="Q7" s="69"/>
      <c r="R7" s="68" t="s">
        <v>15</v>
      </c>
      <c r="S7" s="69"/>
      <c r="T7" s="68" t="s">
        <v>13</v>
      </c>
      <c r="U7" s="69"/>
      <c r="V7" s="8"/>
    </row>
    <row r="8" spans="2:22" ht="13.5" thickBot="1">
      <c r="B8" s="7"/>
      <c r="C8" s="12" t="s">
        <v>5</v>
      </c>
      <c r="D8" s="70" t="s">
        <v>19</v>
      </c>
      <c r="E8" s="71"/>
      <c r="F8" s="70" t="s">
        <v>18</v>
      </c>
      <c r="G8" s="71"/>
      <c r="H8" s="70" t="s">
        <v>16</v>
      </c>
      <c r="I8" s="71"/>
      <c r="J8" s="70" t="s">
        <v>14</v>
      </c>
      <c r="K8" s="71"/>
      <c r="L8" s="9"/>
      <c r="M8" s="12" t="s">
        <v>5</v>
      </c>
      <c r="N8" s="70" t="s">
        <v>19</v>
      </c>
      <c r="O8" s="71"/>
      <c r="P8" s="70" t="s">
        <v>18</v>
      </c>
      <c r="Q8" s="71"/>
      <c r="R8" s="70" t="s">
        <v>16</v>
      </c>
      <c r="S8" s="71"/>
      <c r="T8" s="70" t="s">
        <v>14</v>
      </c>
      <c r="U8" s="71"/>
      <c r="V8" s="8"/>
    </row>
    <row r="9" spans="2:22" ht="13.5" thickBot="1">
      <c r="B9" s="7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8"/>
    </row>
    <row r="10" spans="2:22" ht="12.75">
      <c r="B10" s="7"/>
      <c r="C10" s="13" t="s">
        <v>22</v>
      </c>
      <c r="D10" s="25" t="s">
        <v>1</v>
      </c>
      <c r="E10" s="26"/>
      <c r="F10" s="27" t="s">
        <v>1</v>
      </c>
      <c r="G10" s="11">
        <v>100</v>
      </c>
      <c r="H10" s="27" t="s">
        <v>1</v>
      </c>
      <c r="I10" s="11">
        <v>100</v>
      </c>
      <c r="J10" s="27" t="s">
        <v>1</v>
      </c>
      <c r="K10" s="11">
        <v>100</v>
      </c>
      <c r="L10" s="9"/>
      <c r="M10" s="14" t="s">
        <v>30</v>
      </c>
      <c r="N10" s="40" t="s">
        <v>1</v>
      </c>
      <c r="O10" s="11">
        <v>350</v>
      </c>
      <c r="P10" s="41" t="s">
        <v>1</v>
      </c>
      <c r="Q10" s="42">
        <f>Q12-Q11</f>
        <v>85.56876061120536</v>
      </c>
      <c r="R10" s="41" t="s">
        <v>1</v>
      </c>
      <c r="S10" s="42">
        <f>S16*S12/100</f>
        <v>93.50649350649348</v>
      </c>
      <c r="T10" s="41" t="s">
        <v>1</v>
      </c>
      <c r="U10" s="42">
        <f>U16*U12/100</f>
        <v>93.50649350649348</v>
      </c>
      <c r="V10" s="8"/>
    </row>
    <row r="11" spans="2:22" ht="13.5" thickBot="1">
      <c r="B11" s="7"/>
      <c r="C11" s="15" t="s">
        <v>23</v>
      </c>
      <c r="D11" s="28" t="s">
        <v>2</v>
      </c>
      <c r="E11" s="29"/>
      <c r="F11" s="30" t="s">
        <v>2</v>
      </c>
      <c r="G11" s="16">
        <v>70</v>
      </c>
      <c r="H11" s="31" t="s">
        <v>2</v>
      </c>
      <c r="I11" s="32">
        <f>I12-I10</f>
        <v>70</v>
      </c>
      <c r="J11" s="31" t="s">
        <v>2</v>
      </c>
      <c r="K11" s="32">
        <f>K13-K10/$U$5</f>
        <v>74.46428571428572</v>
      </c>
      <c r="L11" s="9"/>
      <c r="M11" s="17" t="s">
        <v>31</v>
      </c>
      <c r="N11" s="28" t="s">
        <v>2</v>
      </c>
      <c r="O11" s="32">
        <f>O12-O10</f>
        <v>91.14583333333337</v>
      </c>
      <c r="P11" s="30" t="s">
        <v>2</v>
      </c>
      <c r="Q11" s="16">
        <v>70</v>
      </c>
      <c r="R11" s="31" t="s">
        <v>2</v>
      </c>
      <c r="S11" s="32">
        <f>S12-S10</f>
        <v>76.49350649350652</v>
      </c>
      <c r="T11" s="31" t="s">
        <v>2</v>
      </c>
      <c r="U11" s="32">
        <f>U12-U10</f>
        <v>76.49350649350652</v>
      </c>
      <c r="V11" s="8"/>
    </row>
    <row r="12" spans="2:22" ht="12.75">
      <c r="B12" s="7"/>
      <c r="C12" s="9"/>
      <c r="D12" s="28" t="s">
        <v>3</v>
      </c>
      <c r="E12" s="29"/>
      <c r="F12" s="31" t="s">
        <v>3</v>
      </c>
      <c r="G12" s="32">
        <f>G10+G11</f>
        <v>170</v>
      </c>
      <c r="H12" s="30" t="s">
        <v>3</v>
      </c>
      <c r="I12" s="16">
        <v>170</v>
      </c>
      <c r="J12" s="31" t="s">
        <v>3</v>
      </c>
      <c r="K12" s="32">
        <f>K10+K11</f>
        <v>174.46428571428572</v>
      </c>
      <c r="L12" s="9"/>
      <c r="M12" s="9"/>
      <c r="N12" s="28" t="s">
        <v>3</v>
      </c>
      <c r="O12" s="32">
        <f>O10/O16*100</f>
        <v>441.14583333333337</v>
      </c>
      <c r="P12" s="31" t="s">
        <v>3</v>
      </c>
      <c r="Q12" s="32">
        <f>Q11/(1-Q16/100)</f>
        <v>155.56876061120536</v>
      </c>
      <c r="R12" s="30" t="s">
        <v>3</v>
      </c>
      <c r="S12" s="16">
        <v>170</v>
      </c>
      <c r="T12" s="31" t="s">
        <v>3</v>
      </c>
      <c r="U12" s="32">
        <f>U14*U13</f>
        <v>170</v>
      </c>
      <c r="V12" s="8"/>
    </row>
    <row r="13" spans="2:22" ht="12.75">
      <c r="B13" s="7"/>
      <c r="C13" s="9"/>
      <c r="D13" s="28" t="s">
        <v>4</v>
      </c>
      <c r="E13" s="29"/>
      <c r="F13" s="31" t="s">
        <v>4</v>
      </c>
      <c r="G13" s="32">
        <f>G10/$U$5+G11</f>
        <v>101.25</v>
      </c>
      <c r="H13" s="31" t="s">
        <v>4</v>
      </c>
      <c r="I13" s="32">
        <f>I10/$U$5+I11</f>
        <v>101.25</v>
      </c>
      <c r="J13" s="30" t="s">
        <v>4</v>
      </c>
      <c r="K13" s="16">
        <v>105.71428571428572</v>
      </c>
      <c r="L13" s="9"/>
      <c r="M13" s="9"/>
      <c r="N13" s="28" t="s">
        <v>4</v>
      </c>
      <c r="O13" s="32">
        <f>O10/$U$5+O11</f>
        <v>200.52083333333337</v>
      </c>
      <c r="P13" s="31" t="s">
        <v>4</v>
      </c>
      <c r="Q13" s="32">
        <f>Q10/$U$5+Q11</f>
        <v>96.74023769100168</v>
      </c>
      <c r="R13" s="31" t="s">
        <v>4</v>
      </c>
      <c r="S13" s="32">
        <f>S12/S14</f>
        <v>105.71428571428572</v>
      </c>
      <c r="T13" s="30" t="s">
        <v>4</v>
      </c>
      <c r="U13" s="16">
        <v>105.71428571428572</v>
      </c>
      <c r="V13" s="8"/>
    </row>
    <row r="14" spans="2:22" ht="12.75">
      <c r="B14" s="7"/>
      <c r="C14" s="9"/>
      <c r="D14" s="28" t="s">
        <v>6</v>
      </c>
      <c r="E14" s="33"/>
      <c r="F14" s="34" t="s">
        <v>6</v>
      </c>
      <c r="G14" s="35">
        <f>G12/G13</f>
        <v>1.6790123456790123</v>
      </c>
      <c r="H14" s="34" t="s">
        <v>6</v>
      </c>
      <c r="I14" s="35">
        <f>I12/I13</f>
        <v>1.6790123456790123</v>
      </c>
      <c r="J14" s="34" t="s">
        <v>6</v>
      </c>
      <c r="K14" s="35">
        <f>K12/K13</f>
        <v>1.6503378378378377</v>
      </c>
      <c r="L14" s="9"/>
      <c r="M14" s="9"/>
      <c r="N14" s="43" t="s">
        <v>6</v>
      </c>
      <c r="O14" s="18">
        <v>2.2</v>
      </c>
      <c r="P14" s="44" t="s">
        <v>6</v>
      </c>
      <c r="Q14" s="18">
        <v>1.608108108108108</v>
      </c>
      <c r="R14" s="44" t="s">
        <v>6</v>
      </c>
      <c r="S14" s="18">
        <v>1.608108108108108</v>
      </c>
      <c r="T14" s="44" t="s">
        <v>6</v>
      </c>
      <c r="U14" s="18">
        <v>1.608108108108108</v>
      </c>
      <c r="V14" s="8"/>
    </row>
    <row r="15" spans="2:22" ht="12.75">
      <c r="B15" s="7"/>
      <c r="C15" s="9"/>
      <c r="D15" s="28" t="s">
        <v>7</v>
      </c>
      <c r="E15" s="29"/>
      <c r="F15" s="31" t="s">
        <v>7</v>
      </c>
      <c r="G15" s="32">
        <f>(G10/$U$5)/G13*100</f>
        <v>30.864197530864196</v>
      </c>
      <c r="H15" s="31" t="s">
        <v>7</v>
      </c>
      <c r="I15" s="32">
        <f>(I10/$U$5)/I13*100</f>
        <v>30.864197530864196</v>
      </c>
      <c r="J15" s="31" t="s">
        <v>7</v>
      </c>
      <c r="K15" s="32">
        <f>(K10/$U$5)/K13*100</f>
        <v>29.560810810810807</v>
      </c>
      <c r="L15" s="9"/>
      <c r="M15" s="9"/>
      <c r="N15" s="28" t="s">
        <v>7</v>
      </c>
      <c r="O15" s="32">
        <f>(O10/$U$5)/O13*100</f>
        <v>54.54545454545453</v>
      </c>
      <c r="P15" s="31" t="s">
        <v>7</v>
      </c>
      <c r="Q15" s="32">
        <f>(Q10/$U$5)/Q13*100</f>
        <v>27.64127764127762</v>
      </c>
      <c r="R15" s="31" t="s">
        <v>7</v>
      </c>
      <c r="S15" s="32">
        <f>(S10/$U$5)/S13*100</f>
        <v>27.641277641277632</v>
      </c>
      <c r="T15" s="31" t="s">
        <v>7</v>
      </c>
      <c r="U15" s="32">
        <f>(U10/$U$5)/U13*100</f>
        <v>27.641277641277632</v>
      </c>
      <c r="V15" s="8"/>
    </row>
    <row r="16" spans="2:22" ht="13.5" thickBot="1">
      <c r="B16" s="7"/>
      <c r="C16" s="9"/>
      <c r="D16" s="36" t="s">
        <v>8</v>
      </c>
      <c r="E16" s="37"/>
      <c r="F16" s="38" t="s">
        <v>8</v>
      </c>
      <c r="G16" s="39">
        <f>G10/G12*100</f>
        <v>58.82352941176471</v>
      </c>
      <c r="H16" s="38" t="s">
        <v>8</v>
      </c>
      <c r="I16" s="39">
        <f>I10/I12*100</f>
        <v>58.82352941176471</v>
      </c>
      <c r="J16" s="38" t="s">
        <v>8</v>
      </c>
      <c r="K16" s="39">
        <f>K10/K12*100</f>
        <v>57.31832139201637</v>
      </c>
      <c r="L16" s="9"/>
      <c r="M16" s="9"/>
      <c r="N16" s="36" t="s">
        <v>8</v>
      </c>
      <c r="O16" s="39">
        <f>(1/O14-1)/(1/$U$5-1)*100</f>
        <v>79.3388429752066</v>
      </c>
      <c r="P16" s="38" t="s">
        <v>8</v>
      </c>
      <c r="Q16" s="39">
        <f>(1/Q14-1)/(1/$U$5-1)*100</f>
        <v>55.00381970970204</v>
      </c>
      <c r="R16" s="38" t="s">
        <v>8</v>
      </c>
      <c r="S16" s="39">
        <f>(1/S14-1)/(1/$U$5-1)*100</f>
        <v>55.00381970970204</v>
      </c>
      <c r="T16" s="38" t="s">
        <v>8</v>
      </c>
      <c r="U16" s="39">
        <f>(1/U14-1)/(1/$U$5-1)*100</f>
        <v>55.00381970970204</v>
      </c>
      <c r="V16" s="8"/>
    </row>
    <row r="17" spans="2:22" ht="13.5" thickBot="1">
      <c r="B17" s="7"/>
      <c r="C17" s="9"/>
      <c r="D17" s="9"/>
      <c r="E17" s="19"/>
      <c r="F17" s="19"/>
      <c r="G17" s="19"/>
      <c r="H17" s="19"/>
      <c r="I17" s="19"/>
      <c r="J17" s="19"/>
      <c r="K17" s="19"/>
      <c r="L17" s="9"/>
      <c r="M17" s="9"/>
      <c r="N17" s="9"/>
      <c r="O17" s="19"/>
      <c r="P17" s="19"/>
      <c r="Q17" s="19"/>
      <c r="R17" s="19"/>
      <c r="S17" s="19"/>
      <c r="T17" s="19"/>
      <c r="U17" s="19"/>
      <c r="V17" s="8"/>
    </row>
    <row r="18" spans="2:22" ht="12.75">
      <c r="B18" s="7"/>
      <c r="C18" s="14" t="s">
        <v>24</v>
      </c>
      <c r="D18" s="40" t="s">
        <v>1</v>
      </c>
      <c r="E18" s="11">
        <v>100</v>
      </c>
      <c r="F18" s="41" t="s">
        <v>1</v>
      </c>
      <c r="G18" s="26"/>
      <c r="H18" s="41" t="s">
        <v>1</v>
      </c>
      <c r="I18" s="42">
        <f>I20-I19</f>
        <v>100</v>
      </c>
      <c r="J18" s="41" t="s">
        <v>1</v>
      </c>
      <c r="K18" s="42">
        <f>$U$5*(K21-K19)</f>
        <v>114.28571428571432</v>
      </c>
      <c r="L18" s="9"/>
      <c r="M18" s="14" t="s">
        <v>32</v>
      </c>
      <c r="N18" s="40" t="s">
        <v>1</v>
      </c>
      <c r="O18" s="11">
        <v>100</v>
      </c>
      <c r="P18" s="41" t="s">
        <v>1</v>
      </c>
      <c r="Q18" s="42">
        <f>Q23*Q21*$U$5/100</f>
        <v>114.28571428571428</v>
      </c>
      <c r="R18" s="41" t="s">
        <v>1</v>
      </c>
      <c r="S18" s="42">
        <f>S24*S20/100</f>
        <v>105.42635658914729</v>
      </c>
      <c r="T18" s="41" t="s">
        <v>1</v>
      </c>
      <c r="U18" s="42">
        <f>$U$5*U23*U21/100</f>
        <v>114.28571428571429</v>
      </c>
      <c r="V18" s="8"/>
    </row>
    <row r="19" spans="2:22" ht="13.5" thickBot="1">
      <c r="B19" s="7"/>
      <c r="C19" s="17" t="s">
        <v>25</v>
      </c>
      <c r="D19" s="43" t="s">
        <v>2</v>
      </c>
      <c r="E19" s="16">
        <v>70</v>
      </c>
      <c r="F19" s="31" t="s">
        <v>2</v>
      </c>
      <c r="G19" s="29"/>
      <c r="H19" s="30" t="s">
        <v>2</v>
      </c>
      <c r="I19" s="16">
        <v>70</v>
      </c>
      <c r="J19" s="30" t="s">
        <v>2</v>
      </c>
      <c r="K19" s="16">
        <v>70</v>
      </c>
      <c r="L19" s="9"/>
      <c r="M19" s="17" t="s">
        <v>36</v>
      </c>
      <c r="N19" s="28" t="s">
        <v>2</v>
      </c>
      <c r="O19" s="32">
        <f>O21-O18/$U$5</f>
        <v>61.25</v>
      </c>
      <c r="P19" s="30" t="s">
        <v>2</v>
      </c>
      <c r="Q19" s="16">
        <v>70</v>
      </c>
      <c r="R19" s="31" t="s">
        <v>2</v>
      </c>
      <c r="S19" s="32">
        <f>S20-S18</f>
        <v>64.57364341085271</v>
      </c>
      <c r="T19" s="31" t="s">
        <v>2</v>
      </c>
      <c r="U19" s="32">
        <f>U20-U18</f>
        <v>70.00000000000001</v>
      </c>
      <c r="V19" s="8"/>
    </row>
    <row r="20" spans="2:22" ht="12.75">
      <c r="B20" s="7"/>
      <c r="C20" s="9"/>
      <c r="D20" s="28" t="s">
        <v>3</v>
      </c>
      <c r="E20" s="32">
        <f>E18+E19</f>
        <v>170</v>
      </c>
      <c r="F20" s="31" t="s">
        <v>3</v>
      </c>
      <c r="G20" s="29"/>
      <c r="H20" s="30" t="s">
        <v>3</v>
      </c>
      <c r="I20" s="16">
        <v>170</v>
      </c>
      <c r="J20" s="31" t="s">
        <v>3</v>
      </c>
      <c r="K20" s="32">
        <f>K18+K19</f>
        <v>184.28571428571433</v>
      </c>
      <c r="L20" s="9"/>
      <c r="M20" s="9"/>
      <c r="N20" s="28" t="s">
        <v>3</v>
      </c>
      <c r="O20" s="32">
        <f>O18+O19</f>
        <v>161.25</v>
      </c>
      <c r="P20" s="31" t="s">
        <v>3</v>
      </c>
      <c r="Q20" s="32">
        <f>Q18+Q19</f>
        <v>184.28571428571428</v>
      </c>
      <c r="R20" s="30" t="s">
        <v>3</v>
      </c>
      <c r="S20" s="16">
        <v>170</v>
      </c>
      <c r="T20" s="31" t="s">
        <v>3</v>
      </c>
      <c r="U20" s="32">
        <f>U18/U24*100</f>
        <v>184.2857142857143</v>
      </c>
      <c r="V20" s="8"/>
    </row>
    <row r="21" spans="2:22" ht="12.75">
      <c r="B21" s="7"/>
      <c r="C21" s="9"/>
      <c r="D21" s="28" t="s">
        <v>4</v>
      </c>
      <c r="E21" s="32">
        <f>E18/$U$5+E19</f>
        <v>101.25</v>
      </c>
      <c r="F21" s="31" t="s">
        <v>4</v>
      </c>
      <c r="G21" s="29"/>
      <c r="H21" s="31" t="s">
        <v>4</v>
      </c>
      <c r="I21" s="32">
        <f>I18/$U$5+I19</f>
        <v>101.25</v>
      </c>
      <c r="J21" s="30" t="s">
        <v>4</v>
      </c>
      <c r="K21" s="16">
        <v>105.71428571428572</v>
      </c>
      <c r="L21" s="9"/>
      <c r="M21" s="9"/>
      <c r="N21" s="28" t="s">
        <v>4</v>
      </c>
      <c r="O21" s="32">
        <f>(O18/$U$5)/O23*100</f>
        <v>92.5</v>
      </c>
      <c r="P21" s="31" t="s">
        <v>4</v>
      </c>
      <c r="Q21" s="32">
        <f>Q19/(1-Q23/100)</f>
        <v>105.71428571428571</v>
      </c>
      <c r="R21" s="31" t="s">
        <v>4</v>
      </c>
      <c r="S21" s="32">
        <f>S18/S23/$U$5*100</f>
        <v>97.51937984496124</v>
      </c>
      <c r="T21" s="30" t="s">
        <v>4</v>
      </c>
      <c r="U21" s="16">
        <v>105.71428571428572</v>
      </c>
      <c r="V21" s="8"/>
    </row>
    <row r="22" spans="2:22" ht="12.75">
      <c r="B22" s="7"/>
      <c r="C22" s="9"/>
      <c r="D22" s="28" t="s">
        <v>6</v>
      </c>
      <c r="E22" s="35">
        <f>E20/E21</f>
        <v>1.6790123456790123</v>
      </c>
      <c r="F22" s="34" t="s">
        <v>6</v>
      </c>
      <c r="G22" s="33"/>
      <c r="H22" s="34" t="s">
        <v>6</v>
      </c>
      <c r="I22" s="35">
        <f>I20/I21</f>
        <v>1.6790123456790123</v>
      </c>
      <c r="J22" s="34" t="s">
        <v>6</v>
      </c>
      <c r="K22" s="35">
        <f>K20/K21</f>
        <v>1.7432432432432436</v>
      </c>
      <c r="L22" s="9"/>
      <c r="M22" s="9"/>
      <c r="N22" s="28" t="s">
        <v>6</v>
      </c>
      <c r="O22" s="35">
        <f>O20/O21</f>
        <v>1.7432432432432432</v>
      </c>
      <c r="P22" s="34" t="s">
        <v>6</v>
      </c>
      <c r="Q22" s="35">
        <f>Q20/Q21</f>
        <v>1.7432432432432432</v>
      </c>
      <c r="R22" s="34" t="s">
        <v>6</v>
      </c>
      <c r="S22" s="35">
        <f>S20/S21</f>
        <v>1.7432432432432434</v>
      </c>
      <c r="T22" s="34" t="s">
        <v>6</v>
      </c>
      <c r="U22" s="35">
        <f>U20/U21</f>
        <v>1.7432432432432432</v>
      </c>
      <c r="V22" s="8"/>
    </row>
    <row r="23" spans="2:22" ht="12.75">
      <c r="B23" s="7"/>
      <c r="C23" s="9"/>
      <c r="D23" s="28" t="s">
        <v>7</v>
      </c>
      <c r="E23" s="32">
        <f>(E18/$U$5)/E21*100</f>
        <v>30.864197530864196</v>
      </c>
      <c r="F23" s="31" t="s">
        <v>7</v>
      </c>
      <c r="G23" s="29"/>
      <c r="H23" s="31" t="s">
        <v>7</v>
      </c>
      <c r="I23" s="32">
        <f>(I18/$U$5)/I21*100</f>
        <v>30.864197530864196</v>
      </c>
      <c r="J23" s="31" t="s">
        <v>7</v>
      </c>
      <c r="K23" s="32">
        <f>(K18/$U$5)/K21*100</f>
        <v>33.78378378378379</v>
      </c>
      <c r="L23" s="9"/>
      <c r="M23" s="9"/>
      <c r="N23" s="43" t="s">
        <v>7</v>
      </c>
      <c r="O23" s="16">
        <v>33.78378378378378</v>
      </c>
      <c r="P23" s="30" t="s">
        <v>7</v>
      </c>
      <c r="Q23" s="16">
        <v>33.78378378378378</v>
      </c>
      <c r="R23" s="30" t="s">
        <v>7</v>
      </c>
      <c r="S23" s="16">
        <v>33.78378378378378</v>
      </c>
      <c r="T23" s="30" t="s">
        <v>7</v>
      </c>
      <c r="U23" s="16">
        <v>33.78378378378378</v>
      </c>
      <c r="V23" s="8"/>
    </row>
    <row r="24" spans="2:22" ht="13.5" thickBot="1">
      <c r="B24" s="7"/>
      <c r="C24" s="9"/>
      <c r="D24" s="36" t="s">
        <v>8</v>
      </c>
      <c r="E24" s="39">
        <f>E18/E20*100</f>
        <v>58.82352941176471</v>
      </c>
      <c r="F24" s="38" t="s">
        <v>8</v>
      </c>
      <c r="G24" s="37"/>
      <c r="H24" s="38" t="s">
        <v>8</v>
      </c>
      <c r="I24" s="39">
        <f>I18/I20*100</f>
        <v>58.82352941176471</v>
      </c>
      <c r="J24" s="38" t="s">
        <v>8</v>
      </c>
      <c r="K24" s="39">
        <f>K18/K20*100</f>
        <v>62.01550387596899</v>
      </c>
      <c r="L24" s="9"/>
      <c r="M24" s="9"/>
      <c r="N24" s="36" t="s">
        <v>8</v>
      </c>
      <c r="O24" s="39">
        <f>O18/O20*100</f>
        <v>62.01550387596899</v>
      </c>
      <c r="P24" s="38" t="s">
        <v>8</v>
      </c>
      <c r="Q24" s="39">
        <f>Q18/Q20*100</f>
        <v>62.01550387596899</v>
      </c>
      <c r="R24" s="38" t="s">
        <v>8</v>
      </c>
      <c r="S24" s="39">
        <f>(S23/100)/(1/$U$5+(S23/100)*(1-1/$U$5))*100</f>
        <v>62.01550387596899</v>
      </c>
      <c r="T24" s="38" t="s">
        <v>8</v>
      </c>
      <c r="U24" s="39">
        <f>(U23/100)/(1/$U$5+(U23/100)*(1-1/$U$5))*100</f>
        <v>62.01550387596899</v>
      </c>
      <c r="V24" s="8"/>
    </row>
    <row r="25" spans="2:22" ht="13.5" thickBot="1">
      <c r="B25" s="7"/>
      <c r="C25" s="9"/>
      <c r="D25" s="9"/>
      <c r="E25" s="19"/>
      <c r="F25" s="19"/>
      <c r="G25" s="19"/>
      <c r="H25" s="19"/>
      <c r="I25" s="19"/>
      <c r="J25" s="19"/>
      <c r="K25" s="19"/>
      <c r="L25" s="9"/>
      <c r="M25" s="9"/>
      <c r="N25" s="9"/>
      <c r="O25" s="19"/>
      <c r="P25" s="19"/>
      <c r="Q25" s="19"/>
      <c r="R25" s="19"/>
      <c r="S25" s="19"/>
      <c r="T25" s="19"/>
      <c r="U25" s="19"/>
      <c r="V25" s="8"/>
    </row>
    <row r="26" spans="2:22" ht="12.75">
      <c r="B26" s="7"/>
      <c r="C26" s="14" t="s">
        <v>26</v>
      </c>
      <c r="D26" s="40" t="s">
        <v>1</v>
      </c>
      <c r="E26" s="11">
        <v>100</v>
      </c>
      <c r="F26" s="41" t="s">
        <v>1</v>
      </c>
      <c r="G26" s="42">
        <f>G28-G27</f>
        <v>100</v>
      </c>
      <c r="H26" s="41" t="s">
        <v>1</v>
      </c>
      <c r="I26" s="26"/>
      <c r="J26" s="41" t="s">
        <v>1</v>
      </c>
      <c r="K26" s="42">
        <f>K32*K28/100</f>
        <v>93.50649350649348</v>
      </c>
      <c r="L26" s="9"/>
      <c r="M26" s="14" t="s">
        <v>32</v>
      </c>
      <c r="N26" s="40" t="s">
        <v>1</v>
      </c>
      <c r="O26" s="11">
        <v>100</v>
      </c>
      <c r="P26" s="41" t="s">
        <v>1</v>
      </c>
      <c r="Q26" s="42">
        <f>Q28-Q27</f>
        <v>100</v>
      </c>
      <c r="R26" s="41" t="s">
        <v>1</v>
      </c>
      <c r="S26" s="42">
        <f>S32*S28/100</f>
        <v>100</v>
      </c>
      <c r="T26" s="41" t="s">
        <v>1</v>
      </c>
      <c r="U26" s="42">
        <f>(U31/100)*U29*$U$5</f>
        <v>293.7853107344633</v>
      </c>
      <c r="V26" s="8"/>
    </row>
    <row r="27" spans="2:22" ht="13.5" thickBot="1">
      <c r="B27" s="7"/>
      <c r="C27" s="17" t="s">
        <v>27</v>
      </c>
      <c r="D27" s="28" t="s">
        <v>2</v>
      </c>
      <c r="E27" s="32">
        <f>E28-E26</f>
        <v>70</v>
      </c>
      <c r="F27" s="30" t="s">
        <v>2</v>
      </c>
      <c r="G27" s="16">
        <v>70</v>
      </c>
      <c r="H27" s="31" t="s">
        <v>2</v>
      </c>
      <c r="I27" s="29"/>
      <c r="J27" s="31" t="s">
        <v>2</v>
      </c>
      <c r="K27" s="32">
        <f>K28-K26</f>
        <v>76.49350649350652</v>
      </c>
      <c r="L27" s="9"/>
      <c r="M27" s="17" t="s">
        <v>33</v>
      </c>
      <c r="N27" s="28" t="s">
        <v>2</v>
      </c>
      <c r="O27" s="32">
        <f>O28-O26</f>
        <v>5.263157894736835</v>
      </c>
      <c r="P27" s="30" t="s">
        <v>2</v>
      </c>
      <c r="Q27" s="16">
        <v>70</v>
      </c>
      <c r="R27" s="31" t="s">
        <v>2</v>
      </c>
      <c r="S27" s="32">
        <f>S28-S26</f>
        <v>70</v>
      </c>
      <c r="T27" s="31" t="s">
        <v>2</v>
      </c>
      <c r="U27" s="32">
        <f>U28-U26</f>
        <v>158.19209039548025</v>
      </c>
      <c r="V27" s="8"/>
    </row>
    <row r="28" spans="2:22" ht="12.75">
      <c r="B28" s="7"/>
      <c r="C28" s="9"/>
      <c r="D28" s="43" t="s">
        <v>3</v>
      </c>
      <c r="E28" s="16">
        <v>170</v>
      </c>
      <c r="F28" s="30" t="s">
        <v>3</v>
      </c>
      <c r="G28" s="16">
        <v>170</v>
      </c>
      <c r="H28" s="31" t="s">
        <v>3</v>
      </c>
      <c r="I28" s="29"/>
      <c r="J28" s="30" t="s">
        <v>3</v>
      </c>
      <c r="K28" s="16">
        <v>170</v>
      </c>
      <c r="L28" s="9"/>
      <c r="M28" s="9"/>
      <c r="N28" s="28" t="s">
        <v>3</v>
      </c>
      <c r="O28" s="32">
        <f>O26/O32*100</f>
        <v>105.26315789473684</v>
      </c>
      <c r="P28" s="31" t="s">
        <v>3</v>
      </c>
      <c r="Q28" s="32">
        <f>Q27/(1-Q32/100)</f>
        <v>170</v>
      </c>
      <c r="R28" s="30" t="s">
        <v>3</v>
      </c>
      <c r="S28" s="16">
        <v>170</v>
      </c>
      <c r="T28" s="31" t="s">
        <v>3</v>
      </c>
      <c r="U28" s="32">
        <f>U26/U32*100</f>
        <v>451.97740112994353</v>
      </c>
      <c r="V28" s="8"/>
    </row>
    <row r="29" spans="2:22" ht="12.75">
      <c r="B29" s="7"/>
      <c r="C29" s="9"/>
      <c r="D29" s="28" t="s">
        <v>4</v>
      </c>
      <c r="E29" s="32">
        <f>E26/$U$5+E27</f>
        <v>101.25</v>
      </c>
      <c r="F29" s="31" t="s">
        <v>4</v>
      </c>
      <c r="G29" s="32">
        <f>G26/$U$5+G27</f>
        <v>101.25</v>
      </c>
      <c r="H29" s="31" t="s">
        <v>4</v>
      </c>
      <c r="I29" s="29"/>
      <c r="J29" s="30" t="s">
        <v>4</v>
      </c>
      <c r="K29" s="16">
        <v>105.71428571428572</v>
      </c>
      <c r="L29" s="9"/>
      <c r="M29" s="9"/>
      <c r="N29" s="28" t="s">
        <v>4</v>
      </c>
      <c r="O29" s="32">
        <f>O26/$U$5+O27</f>
        <v>36.513157894736835</v>
      </c>
      <c r="P29" s="31" t="s">
        <v>4</v>
      </c>
      <c r="Q29" s="32">
        <f>Q26/$U$5+Q27</f>
        <v>101.25</v>
      </c>
      <c r="R29" s="31" t="s">
        <v>4</v>
      </c>
      <c r="S29" s="32">
        <f>S26/$U$5+S27</f>
        <v>101.25</v>
      </c>
      <c r="T29" s="30" t="s">
        <v>4</v>
      </c>
      <c r="U29" s="16">
        <v>250</v>
      </c>
      <c r="V29" s="8"/>
    </row>
    <row r="30" spans="2:22" ht="12.75">
      <c r="B30" s="7"/>
      <c r="C30" s="9"/>
      <c r="D30" s="28" t="s">
        <v>6</v>
      </c>
      <c r="E30" s="35">
        <f>E28/E29</f>
        <v>1.6790123456790123</v>
      </c>
      <c r="F30" s="34" t="s">
        <v>6</v>
      </c>
      <c r="G30" s="35">
        <f>G28/G29</f>
        <v>1.6790123456790123</v>
      </c>
      <c r="H30" s="34" t="s">
        <v>6</v>
      </c>
      <c r="I30" s="33"/>
      <c r="J30" s="34" t="s">
        <v>6</v>
      </c>
      <c r="K30" s="35">
        <f>K28/K29</f>
        <v>1.608108108108108</v>
      </c>
      <c r="L30" s="9"/>
      <c r="M30" s="9"/>
      <c r="N30" s="28" t="s">
        <v>6</v>
      </c>
      <c r="O30" s="35">
        <f>O28/O29</f>
        <v>2.882882882882883</v>
      </c>
      <c r="P30" s="34" t="s">
        <v>6</v>
      </c>
      <c r="Q30" s="35">
        <f>Q28/Q29</f>
        <v>1.6790123456790123</v>
      </c>
      <c r="R30" s="34" t="s">
        <v>6</v>
      </c>
      <c r="S30" s="35">
        <f>S28/S29</f>
        <v>1.6790123456790123</v>
      </c>
      <c r="T30" s="34" t="s">
        <v>6</v>
      </c>
      <c r="U30" s="35">
        <f>U28/U29</f>
        <v>1.8079096045197742</v>
      </c>
      <c r="V30" s="8"/>
    </row>
    <row r="31" spans="2:22" ht="12.75">
      <c r="B31" s="7"/>
      <c r="C31" s="9"/>
      <c r="D31" s="28" t="s">
        <v>7</v>
      </c>
      <c r="E31" s="32">
        <f>(E26/$U$5)/E29*100</f>
        <v>30.864197530864196</v>
      </c>
      <c r="F31" s="31" t="s">
        <v>7</v>
      </c>
      <c r="G31" s="32">
        <f>(G26/$U$5)/G29*100</f>
        <v>30.864197530864196</v>
      </c>
      <c r="H31" s="31" t="s">
        <v>7</v>
      </c>
      <c r="I31" s="29"/>
      <c r="J31" s="31" t="s">
        <v>7</v>
      </c>
      <c r="K31" s="32">
        <f>(K26/$U$5)/K29*100</f>
        <v>27.641277641277632</v>
      </c>
      <c r="L31" s="9"/>
      <c r="M31" s="9"/>
      <c r="N31" s="28" t="s">
        <v>7</v>
      </c>
      <c r="O31" s="32">
        <f>(O26/$U$5)/O29*100</f>
        <v>85.5855855855856</v>
      </c>
      <c r="P31" s="31" t="s">
        <v>7</v>
      </c>
      <c r="Q31" s="32">
        <f>(Q26/$U$5)/Q29*100</f>
        <v>30.864197530864196</v>
      </c>
      <c r="R31" s="31" t="s">
        <v>7</v>
      </c>
      <c r="S31" s="32">
        <f>(S26/$U$5)/S29*100</f>
        <v>30.864197530864196</v>
      </c>
      <c r="T31" s="31" t="s">
        <v>7</v>
      </c>
      <c r="U31" s="32">
        <f>(U32/$U$5)/(U32/$U$5+(100-U32))*100</f>
        <v>36.72316384180791</v>
      </c>
      <c r="V31" s="8"/>
    </row>
    <row r="32" spans="2:22" ht="13.5" thickBot="1">
      <c r="B32" s="7"/>
      <c r="C32" s="9"/>
      <c r="D32" s="36" t="s">
        <v>8</v>
      </c>
      <c r="E32" s="39">
        <f>E26/E28*100</f>
        <v>58.82352941176471</v>
      </c>
      <c r="F32" s="38" t="s">
        <v>8</v>
      </c>
      <c r="G32" s="39">
        <f>G26/G28*100</f>
        <v>58.82352941176471</v>
      </c>
      <c r="H32" s="38" t="s">
        <v>8</v>
      </c>
      <c r="I32" s="37"/>
      <c r="J32" s="38" t="s">
        <v>8</v>
      </c>
      <c r="K32" s="39">
        <f>(1/K30-1)/(1/$U$5-1)*100</f>
        <v>55.00381970970204</v>
      </c>
      <c r="L32" s="9"/>
      <c r="M32" s="9"/>
      <c r="N32" s="45" t="s">
        <v>8</v>
      </c>
      <c r="O32" s="20">
        <v>95</v>
      </c>
      <c r="P32" s="46" t="s">
        <v>8</v>
      </c>
      <c r="Q32" s="20">
        <v>58.82352941176471</v>
      </c>
      <c r="R32" s="46" t="s">
        <v>8</v>
      </c>
      <c r="S32" s="20">
        <v>58.82352941176471</v>
      </c>
      <c r="T32" s="46" t="s">
        <v>8</v>
      </c>
      <c r="U32" s="20">
        <v>65</v>
      </c>
      <c r="V32" s="8"/>
    </row>
    <row r="33" spans="2:22" ht="13.5" thickBot="1">
      <c r="B33" s="7"/>
      <c r="C33" s="9"/>
      <c r="D33" s="9"/>
      <c r="E33" s="19"/>
      <c r="F33" s="19"/>
      <c r="G33" s="19"/>
      <c r="H33" s="19"/>
      <c r="I33" s="19"/>
      <c r="J33" s="19"/>
      <c r="K33" s="19"/>
      <c r="L33" s="9"/>
      <c r="M33" s="9"/>
      <c r="N33" s="9"/>
      <c r="O33" s="9"/>
      <c r="P33" s="9"/>
      <c r="Q33" s="9"/>
      <c r="R33" s="9"/>
      <c r="S33" s="9"/>
      <c r="T33" s="9"/>
      <c r="U33" s="9"/>
      <c r="V33" s="8"/>
    </row>
    <row r="34" spans="2:22" ht="12.75">
      <c r="B34" s="7"/>
      <c r="C34" s="14" t="s">
        <v>28</v>
      </c>
      <c r="D34" s="40" t="s">
        <v>1</v>
      </c>
      <c r="E34" s="11">
        <v>100</v>
      </c>
      <c r="F34" s="41" t="s">
        <v>1</v>
      </c>
      <c r="G34" s="42">
        <f>$U$5*(G37-G35)</f>
        <v>114.28571428571432</v>
      </c>
      <c r="H34" s="41" t="s">
        <v>1</v>
      </c>
      <c r="I34" s="42">
        <f>I40*I36/100</f>
        <v>93.50649350649348</v>
      </c>
      <c r="J34" s="41" t="s">
        <v>1</v>
      </c>
      <c r="K34" s="26"/>
      <c r="L34" s="9"/>
      <c r="M34" s="9"/>
      <c r="N34" s="9"/>
      <c r="O34" s="9"/>
      <c r="P34" s="9"/>
      <c r="Q34" s="9"/>
      <c r="R34" s="9"/>
      <c r="S34" s="9"/>
      <c r="T34" s="9"/>
      <c r="U34" s="9"/>
      <c r="V34" s="8"/>
    </row>
    <row r="35" spans="2:22" ht="13.5" thickBot="1">
      <c r="B35" s="7"/>
      <c r="C35" s="17" t="s">
        <v>29</v>
      </c>
      <c r="D35" s="28" t="s">
        <v>2</v>
      </c>
      <c r="E35" s="32">
        <f>E37-E34/$U$5</f>
        <v>74.46428571428572</v>
      </c>
      <c r="F35" s="30" t="s">
        <v>2</v>
      </c>
      <c r="G35" s="16">
        <v>70</v>
      </c>
      <c r="H35" s="31" t="s">
        <v>2</v>
      </c>
      <c r="I35" s="32">
        <f>I36-I34</f>
        <v>76.49350649350652</v>
      </c>
      <c r="J35" s="31" t="s">
        <v>2</v>
      </c>
      <c r="K35" s="29"/>
      <c r="L35" s="9"/>
      <c r="M35" s="9"/>
      <c r="N35" s="9"/>
      <c r="O35" s="9"/>
      <c r="P35" s="9"/>
      <c r="Q35" s="9"/>
      <c r="R35" s="9"/>
      <c r="S35" s="9"/>
      <c r="T35" s="9"/>
      <c r="U35" s="9"/>
      <c r="V35" s="8"/>
    </row>
    <row r="36" spans="2:22" ht="12.75">
      <c r="B36" s="7"/>
      <c r="C36" s="9"/>
      <c r="D36" s="28" t="s">
        <v>3</v>
      </c>
      <c r="E36" s="32">
        <f>E34+E35</f>
        <v>174.46428571428572</v>
      </c>
      <c r="F36" s="31" t="s">
        <v>3</v>
      </c>
      <c r="G36" s="32">
        <f>G34+G35</f>
        <v>184.28571428571433</v>
      </c>
      <c r="H36" s="30" t="s">
        <v>3</v>
      </c>
      <c r="I36" s="16">
        <v>170</v>
      </c>
      <c r="J36" s="31" t="s">
        <v>3</v>
      </c>
      <c r="K36" s="29"/>
      <c r="L36" s="9"/>
      <c r="M36" s="9"/>
      <c r="N36" s="9"/>
      <c r="O36" s="9"/>
      <c r="P36" s="9"/>
      <c r="Q36" s="9"/>
      <c r="R36" s="9"/>
      <c r="S36" s="9"/>
      <c r="T36" s="9"/>
      <c r="U36" s="9"/>
      <c r="V36" s="8"/>
    </row>
    <row r="37" spans="2:22" ht="12.75">
      <c r="B37" s="7"/>
      <c r="C37" s="9"/>
      <c r="D37" s="43" t="s">
        <v>4</v>
      </c>
      <c r="E37" s="16">
        <v>105.71428571428572</v>
      </c>
      <c r="F37" s="30" t="s">
        <v>4</v>
      </c>
      <c r="G37" s="16">
        <v>105.71428571428572</v>
      </c>
      <c r="H37" s="30" t="s">
        <v>4</v>
      </c>
      <c r="I37" s="16">
        <v>105.71428571428572</v>
      </c>
      <c r="J37" s="31" t="s">
        <v>4</v>
      </c>
      <c r="K37" s="29"/>
      <c r="L37" s="9"/>
      <c r="M37" s="9"/>
      <c r="N37" s="9"/>
      <c r="O37" s="9"/>
      <c r="P37" s="9"/>
      <c r="Q37" s="9"/>
      <c r="R37" s="9"/>
      <c r="S37" s="9"/>
      <c r="T37" s="9"/>
      <c r="U37" s="9"/>
      <c r="V37" s="8"/>
    </row>
    <row r="38" spans="2:22" ht="12.75">
      <c r="B38" s="7"/>
      <c r="C38" s="9"/>
      <c r="D38" s="28" t="s">
        <v>6</v>
      </c>
      <c r="E38" s="35">
        <f>E36/E37</f>
        <v>1.6503378378378377</v>
      </c>
      <c r="F38" s="34" t="s">
        <v>6</v>
      </c>
      <c r="G38" s="35">
        <f>G36/G37</f>
        <v>1.7432432432432436</v>
      </c>
      <c r="H38" s="34" t="s">
        <v>6</v>
      </c>
      <c r="I38" s="35">
        <f>I36/I37</f>
        <v>1.608108108108108</v>
      </c>
      <c r="J38" s="34" t="s">
        <v>6</v>
      </c>
      <c r="K38" s="33"/>
      <c r="L38" s="9"/>
      <c r="M38" s="9"/>
      <c r="N38" s="9"/>
      <c r="O38" s="9"/>
      <c r="P38" s="9"/>
      <c r="Q38" s="9"/>
      <c r="R38" s="9"/>
      <c r="S38" s="9"/>
      <c r="T38" s="9"/>
      <c r="U38" s="9"/>
      <c r="V38" s="8"/>
    </row>
    <row r="39" spans="2:22" ht="12.75">
      <c r="B39" s="7"/>
      <c r="C39" s="9"/>
      <c r="D39" s="28" t="s">
        <v>7</v>
      </c>
      <c r="E39" s="32">
        <f>(E34/$U$5)/E37*100</f>
        <v>29.560810810810807</v>
      </c>
      <c r="F39" s="31" t="s">
        <v>7</v>
      </c>
      <c r="G39" s="32">
        <f>(G34/$U$5)/G37*100</f>
        <v>33.78378378378379</v>
      </c>
      <c r="H39" s="31" t="s">
        <v>7</v>
      </c>
      <c r="I39" s="32">
        <f>(I34/$U$5)/I37*100</f>
        <v>27.641277641277632</v>
      </c>
      <c r="J39" s="31" t="s">
        <v>7</v>
      </c>
      <c r="K39" s="29"/>
      <c r="L39" s="9"/>
      <c r="M39" s="9"/>
      <c r="N39" s="9"/>
      <c r="O39" s="9"/>
      <c r="P39" s="9"/>
      <c r="Q39" s="9"/>
      <c r="R39" s="9"/>
      <c r="S39" s="9"/>
      <c r="T39" s="9"/>
      <c r="U39" s="9"/>
      <c r="V39" s="8"/>
    </row>
    <row r="40" spans="2:22" ht="13.5" thickBot="1">
      <c r="B40" s="7"/>
      <c r="C40" s="9"/>
      <c r="D40" s="36" t="s">
        <v>8</v>
      </c>
      <c r="E40" s="39">
        <f>E34/E36*100</f>
        <v>57.31832139201637</v>
      </c>
      <c r="F40" s="38" t="s">
        <v>8</v>
      </c>
      <c r="G40" s="39">
        <f>G34/G36*100</f>
        <v>62.01550387596899</v>
      </c>
      <c r="H40" s="38" t="s">
        <v>8</v>
      </c>
      <c r="I40" s="39">
        <f>(1/I38-1)/(1/$U$5-1)*100</f>
        <v>55.00381970970204</v>
      </c>
      <c r="J40" s="38" t="s">
        <v>8</v>
      </c>
      <c r="K40" s="37"/>
      <c r="L40" s="9"/>
      <c r="M40" s="9"/>
      <c r="N40" s="9"/>
      <c r="O40" s="9"/>
      <c r="P40" s="9"/>
      <c r="Q40" s="9"/>
      <c r="R40" s="9"/>
      <c r="S40" s="9"/>
      <c r="T40" s="9"/>
      <c r="U40" s="9"/>
      <c r="V40" s="8"/>
    </row>
    <row r="41" spans="2:22" ht="13.5" thickBot="1">
      <c r="B41" s="21"/>
      <c r="C41" s="22"/>
      <c r="D41" s="22"/>
      <c r="E41" s="23"/>
      <c r="F41" s="23"/>
      <c r="G41" s="23"/>
      <c r="H41" s="23"/>
      <c r="I41" s="23"/>
      <c r="J41" s="23"/>
      <c r="K41" s="23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4"/>
    </row>
    <row r="42" ht="13.5" thickTop="1"/>
  </sheetData>
  <sheetProtection password="CD50" sheet="1" objects="1" scenarios="1" insertColumns="0" insertRows="0"/>
  <mergeCells count="18">
    <mergeCell ref="N8:O8"/>
    <mergeCell ref="P8:Q8"/>
    <mergeCell ref="R8:S8"/>
    <mergeCell ref="T8:U8"/>
    <mergeCell ref="J8:K8"/>
    <mergeCell ref="D8:E8"/>
    <mergeCell ref="F8:G8"/>
    <mergeCell ref="H8:I8"/>
    <mergeCell ref="C3:U3"/>
    <mergeCell ref="N7:O7"/>
    <mergeCell ref="P7:Q7"/>
    <mergeCell ref="R7:S7"/>
    <mergeCell ref="C4:U4"/>
    <mergeCell ref="D7:E7"/>
    <mergeCell ref="F7:G7"/>
    <mergeCell ref="H7:I7"/>
    <mergeCell ref="J7:K7"/>
    <mergeCell ref="T7:U7"/>
  </mergeCells>
  <printOptions horizontalCentered="1"/>
  <pageMargins left="0.25" right="0.25" top="1" bottom="1.5" header="0" footer="0.5"/>
  <pageSetup horizontalDpi="300" verticalDpi="300" orientation="landscape" pageOrder="overThenDown" scale="75" r:id="rId2"/>
  <headerFooter alignWithMargins="0">
    <oddFooter>&amp;L&amp;"Arial,Bold"&amp;8Moly-Cop Tools&amp;"Arial,Regular" / &amp;F&amp;R&amp;8&amp;D   /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6"/>
  <sheetViews>
    <sheetView workbookViewId="0" topLeftCell="A1">
      <selection activeCell="A1" sqref="A1"/>
    </sheetView>
  </sheetViews>
  <sheetFormatPr defaultColWidth="11.421875" defaultRowHeight="12.75"/>
  <cols>
    <col min="1" max="2" width="1.7109375" style="1" customWidth="1"/>
    <col min="3" max="3" width="15.7109375" style="1" customWidth="1"/>
    <col min="4" max="4" width="6.7109375" style="1" customWidth="1"/>
    <col min="5" max="5" width="12.7109375" style="1" customWidth="1"/>
    <col min="6" max="6" width="6.7109375" style="1" customWidth="1"/>
    <col min="7" max="7" width="12.7109375" style="1" customWidth="1"/>
    <col min="8" max="8" width="6.7109375" style="1" customWidth="1"/>
    <col min="9" max="9" width="12.7109375" style="1" customWidth="1"/>
    <col min="10" max="10" width="6.7109375" style="1" customWidth="1"/>
    <col min="11" max="11" width="12.7109375" style="1" customWidth="1"/>
    <col min="12" max="12" width="1.7109375" style="1" customWidth="1"/>
    <col min="13" max="16384" width="9.140625" style="1" customWidth="1"/>
  </cols>
  <sheetData>
    <row r="1" ht="7.5" customHeight="1" thickBot="1"/>
    <row r="2" spans="2:12" ht="24.75" customHeight="1" thickTop="1">
      <c r="B2" s="2"/>
      <c r="C2" s="3" t="s">
        <v>43</v>
      </c>
      <c r="D2" s="4"/>
      <c r="E2" s="4"/>
      <c r="F2" s="4"/>
      <c r="G2" s="4"/>
      <c r="H2" s="4"/>
      <c r="I2" s="4"/>
      <c r="J2" s="5"/>
      <c r="K2" s="5"/>
      <c r="L2" s="6"/>
    </row>
    <row r="3" spans="2:12" ht="15.75">
      <c r="B3" s="7"/>
      <c r="C3" s="67" t="s">
        <v>35</v>
      </c>
      <c r="D3" s="67"/>
      <c r="E3" s="67"/>
      <c r="F3" s="67"/>
      <c r="G3" s="67"/>
      <c r="H3" s="67"/>
      <c r="I3" s="67"/>
      <c r="J3" s="67"/>
      <c r="K3" s="67"/>
      <c r="L3" s="47"/>
    </row>
    <row r="4" spans="2:12" ht="15.75">
      <c r="B4" s="7"/>
      <c r="C4" s="67" t="s">
        <v>38</v>
      </c>
      <c r="D4" s="67"/>
      <c r="E4" s="67"/>
      <c r="F4" s="67"/>
      <c r="G4" s="67"/>
      <c r="H4" s="67"/>
      <c r="I4" s="67"/>
      <c r="J4" s="67"/>
      <c r="K4" s="67"/>
      <c r="L4" s="48"/>
    </row>
    <row r="5" spans="2:12" ht="12.75">
      <c r="B5" s="7"/>
      <c r="C5" s="49"/>
      <c r="D5" s="49"/>
      <c r="E5" s="49"/>
      <c r="F5" s="49"/>
      <c r="G5" s="49"/>
      <c r="H5" s="49"/>
      <c r="I5" s="49"/>
      <c r="J5" s="49"/>
      <c r="K5" s="49"/>
      <c r="L5" s="48"/>
    </row>
    <row r="6" spans="2:12" ht="14.25">
      <c r="B6" s="7"/>
      <c r="C6" s="9"/>
      <c r="D6" s="9"/>
      <c r="E6" s="9"/>
      <c r="F6" s="9"/>
      <c r="G6" s="49"/>
      <c r="H6" s="49"/>
      <c r="I6" s="9"/>
      <c r="J6" s="10" t="s">
        <v>40</v>
      </c>
      <c r="K6" s="50">
        <v>2.8</v>
      </c>
      <c r="L6" s="8"/>
    </row>
    <row r="7" spans="2:12" ht="12.75">
      <c r="B7" s="7"/>
      <c r="C7" s="9"/>
      <c r="D7" s="9"/>
      <c r="E7" s="9"/>
      <c r="F7" s="9"/>
      <c r="G7" s="9"/>
      <c r="H7" s="10"/>
      <c r="I7" s="51"/>
      <c r="J7" s="51"/>
      <c r="K7" s="51"/>
      <c r="L7" s="8"/>
    </row>
    <row r="8" spans="2:12" ht="13.5" thickBot="1">
      <c r="B8" s="7"/>
      <c r="C8" s="9"/>
      <c r="D8" s="9"/>
      <c r="E8" s="9"/>
      <c r="F8" s="9"/>
      <c r="G8" s="9"/>
      <c r="H8" s="9"/>
      <c r="I8" s="9"/>
      <c r="J8" s="9"/>
      <c r="K8" s="9"/>
      <c r="L8" s="8"/>
    </row>
    <row r="9" spans="2:12" ht="12.75">
      <c r="B9" s="7"/>
      <c r="C9" s="52" t="s">
        <v>0</v>
      </c>
      <c r="D9" s="68" t="s">
        <v>12</v>
      </c>
      <c r="E9" s="69"/>
      <c r="F9" s="68" t="s">
        <v>9</v>
      </c>
      <c r="G9" s="69"/>
      <c r="H9" s="68" t="s">
        <v>9</v>
      </c>
      <c r="I9" s="69"/>
      <c r="J9" s="68" t="s">
        <v>41</v>
      </c>
      <c r="K9" s="69"/>
      <c r="L9" s="8"/>
    </row>
    <row r="10" spans="2:12" ht="13.5" thickBot="1">
      <c r="B10" s="7"/>
      <c r="C10" s="52"/>
      <c r="D10" s="70" t="s">
        <v>11</v>
      </c>
      <c r="E10" s="71"/>
      <c r="F10" s="70" t="s">
        <v>10</v>
      </c>
      <c r="G10" s="71"/>
      <c r="H10" s="70" t="s">
        <v>21</v>
      </c>
      <c r="I10" s="71"/>
      <c r="J10" s="70" t="s">
        <v>44</v>
      </c>
      <c r="K10" s="71"/>
      <c r="L10" s="8"/>
    </row>
    <row r="11" spans="2:12" ht="13.5" thickBot="1">
      <c r="B11" s="7"/>
      <c r="C11" s="9"/>
      <c r="D11" s="9"/>
      <c r="E11" s="9"/>
      <c r="F11" s="9"/>
      <c r="G11" s="9"/>
      <c r="H11" s="9"/>
      <c r="I11" s="9"/>
      <c r="J11" s="9"/>
      <c r="K11" s="9"/>
      <c r="L11" s="8"/>
    </row>
    <row r="12" spans="2:12" ht="19.5" customHeight="1">
      <c r="B12" s="7"/>
      <c r="C12" s="53" t="s">
        <v>34</v>
      </c>
      <c r="D12" s="54" t="s">
        <v>6</v>
      </c>
      <c r="E12" s="55">
        <v>1.608108108108108</v>
      </c>
      <c r="F12" s="56" t="s">
        <v>6</v>
      </c>
      <c r="G12" s="66">
        <f>1/((G14/100)/$K$6+(1-G14/100))</f>
        <v>1.6081081081081081</v>
      </c>
      <c r="H12" s="56" t="s">
        <v>6</v>
      </c>
      <c r="I12" s="66">
        <f>1/((I14/100)/$K$6+(1-I14/100))</f>
        <v>1.6081081081081081</v>
      </c>
      <c r="J12" s="56" t="s">
        <v>6</v>
      </c>
      <c r="K12" s="66">
        <f>1/((K14/100)/$K$6+(1-K14/100))</f>
        <v>1.6081081081081081</v>
      </c>
      <c r="L12" s="8"/>
    </row>
    <row r="13" spans="2:12" ht="19.5" customHeight="1">
      <c r="B13" s="7"/>
      <c r="C13" s="9"/>
      <c r="D13" s="62" t="s">
        <v>7</v>
      </c>
      <c r="E13" s="63">
        <f>(E14/100/$K$6)/(1/E12)*100</f>
        <v>33.783783783783775</v>
      </c>
      <c r="F13" s="57" t="s">
        <v>7</v>
      </c>
      <c r="G13" s="58">
        <v>33.783783783783775</v>
      </c>
      <c r="H13" s="56" t="s">
        <v>7</v>
      </c>
      <c r="I13" s="63">
        <f>(I14/100/$K$6)/(I14/100/$K$6+(1-I14/100))*100</f>
        <v>33.783783783783775</v>
      </c>
      <c r="J13" s="56" t="s">
        <v>7</v>
      </c>
      <c r="K13" s="63">
        <f>(K14/100/$K$6)/(K14/100/$K$6+(1-K14/100))*100</f>
        <v>33.783783783783775</v>
      </c>
      <c r="L13" s="8"/>
    </row>
    <row r="14" spans="2:12" ht="19.5" customHeight="1">
      <c r="B14" s="7"/>
      <c r="C14" s="9"/>
      <c r="D14" s="62" t="s">
        <v>8</v>
      </c>
      <c r="E14" s="63">
        <f>(1/E12-1)/(1/$K$6-1)*100</f>
        <v>58.823529411764696</v>
      </c>
      <c r="F14" s="56" t="s">
        <v>8</v>
      </c>
      <c r="G14" s="63">
        <f>(G13/100)/(1/$K$6+(G13/100)*(1-1/$K$6))*100</f>
        <v>58.82352941176471</v>
      </c>
      <c r="H14" s="57" t="s">
        <v>8</v>
      </c>
      <c r="I14" s="58">
        <v>58.823529411764696</v>
      </c>
      <c r="J14" s="56" t="s">
        <v>8</v>
      </c>
      <c r="K14" s="63">
        <f>100*K15/(1000+K15*($K$6-1)/$K$6)</f>
        <v>58.823529411764696</v>
      </c>
      <c r="L14" s="8"/>
    </row>
    <row r="15" spans="2:12" ht="19.5" customHeight="1" thickBot="1">
      <c r="B15" s="7"/>
      <c r="C15" s="9"/>
      <c r="D15" s="64" t="s">
        <v>42</v>
      </c>
      <c r="E15" s="65">
        <f>1000/(1/$K$6+(100-E14)/E14)</f>
        <v>945.9459459459457</v>
      </c>
      <c r="F15" s="59" t="s">
        <v>42</v>
      </c>
      <c r="G15" s="65">
        <f>1000/(1/$K$6+(100-G14)/G14)</f>
        <v>945.9459459459462</v>
      </c>
      <c r="H15" s="59" t="s">
        <v>42</v>
      </c>
      <c r="I15" s="65">
        <f>1000/(1/$K$6+(100-I14)/I14)</f>
        <v>945.9459459459457</v>
      </c>
      <c r="J15" s="60" t="s">
        <v>42</v>
      </c>
      <c r="K15" s="61">
        <v>945.9459459459457</v>
      </c>
      <c r="L15" s="8"/>
    </row>
    <row r="16" spans="2:12" ht="13.5" thickBot="1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4"/>
    </row>
    <row r="17" ht="13.5" thickTop="1"/>
  </sheetData>
  <sheetProtection password="CD50" sheet="1" objects="1" scenarios="1" insertColumns="0" insertRows="0"/>
  <mergeCells count="10">
    <mergeCell ref="J9:K9"/>
    <mergeCell ref="J10:K10"/>
    <mergeCell ref="C3:K3"/>
    <mergeCell ref="C4:K4"/>
    <mergeCell ref="H10:I10"/>
    <mergeCell ref="D10:E10"/>
    <mergeCell ref="F10:G10"/>
    <mergeCell ref="D9:E9"/>
    <mergeCell ref="F9:G9"/>
    <mergeCell ref="H9:I9"/>
  </mergeCells>
  <printOptions horizontalCentered="1"/>
  <pageMargins left="0.25" right="0.25" top="1" bottom="1.5" header="0" footer="0.5"/>
  <pageSetup horizontalDpi="300" verticalDpi="300" orientation="landscape" pageOrder="overThenDown" r:id="rId2"/>
  <headerFooter alignWithMargins="0">
    <oddFooter>&amp;L&amp;"Arial,Bold"&amp;8Moly-Cop Tools&amp;"Arial,Regular" / &amp;F&amp;R&amp;8&amp;D   /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Moly-Cop Chile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E. Sepúlveda J.</dc:creator>
  <cp:keywords/>
  <dc:description/>
  <cp:lastModifiedBy>lguzman</cp:lastModifiedBy>
  <cp:lastPrinted>2007-06-04T00:02:39Z</cp:lastPrinted>
  <dcterms:created xsi:type="dcterms:W3CDTF">1999-06-11T16:51:14Z</dcterms:created>
  <dcterms:modified xsi:type="dcterms:W3CDTF">2011-02-07T23:52:21Z</dcterms:modified>
  <cp:category/>
  <cp:version/>
  <cp:contentType/>
  <cp:contentStatus/>
</cp:coreProperties>
</file>